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570" windowWidth="15480" windowHeight="9795" firstSheet="1" activeTab="8"/>
  </bookViews>
  <sheets>
    <sheet name="anexa 1 " sheetId="13" r:id="rId1"/>
    <sheet name="anexa 2 " sheetId="11" r:id="rId2"/>
    <sheet name="anexa 3" sheetId="3" r:id="rId3"/>
    <sheet name="anexa 4  " sheetId="12" r:id="rId4"/>
    <sheet name="anexa 5  " sheetId="14" r:id="rId5"/>
    <sheet name="anexa 6" sheetId="9" r:id="rId6"/>
    <sheet name="anexa 7" sheetId="8" r:id="rId7"/>
    <sheet name="anexa 8" sheetId="7" r:id="rId8"/>
    <sheet name="anexa 9" sheetId="2" r:id="rId9"/>
    <sheet name="corelatii" sheetId="10" r:id="rId10"/>
    <sheet name="Sheet3" sheetId="17" r:id="rId11"/>
    <sheet name="Sheet2" sheetId="16" r:id="rId12"/>
    <sheet name="Sheet1" sheetId="15" r:id="rId13"/>
    <sheet name="anexa 1intermediar" sheetId="1" r:id="rId14"/>
    <sheet name="anexa 4 intermediar" sheetId="5" r:id="rId15"/>
    <sheet name="anexa 2intermediar" sheetId="4" r:id="rId16"/>
    <sheet name="anexa 5 intermediar" sheetId="6" r:id="rId17"/>
  </sheets>
  <definedNames>
    <definedName name="_xlnm.Print_Titles" localSheetId="0">'anexa 1 '!$8:$10</definedName>
    <definedName name="_xlnm.Print_Titles" localSheetId="1">'anexa 2 '!$9:$11</definedName>
    <definedName name="_xlnm.Print_Titles" localSheetId="3">'anexa 4  '!$5:$10</definedName>
    <definedName name="_xlnm.Print_Titles" localSheetId="4">'anexa 5  '!$11:$13</definedName>
    <definedName name="_xlnm.Print_Titles" localSheetId="8">'anexa 9'!$9:$12</definedName>
  </definedNames>
  <calcPr calcId="114210" fullCalcOnLoad="1"/>
</workbook>
</file>

<file path=xl/calcChain.xml><?xml version="1.0" encoding="utf-8"?>
<calcChain xmlns="http://schemas.openxmlformats.org/spreadsheetml/2006/main">
  <c r="H25" i="9"/>
  <c r="F25"/>
  <c r="E25"/>
  <c r="D25"/>
  <c r="C25"/>
  <c r="F24"/>
  <c r="E24"/>
  <c r="D24"/>
  <c r="C24"/>
  <c r="G23"/>
  <c r="G22"/>
  <c r="I21"/>
  <c r="G21"/>
  <c r="I20"/>
  <c r="G20"/>
  <c r="G19"/>
  <c r="G18"/>
  <c r="H18"/>
  <c r="I18"/>
  <c r="I17"/>
  <c r="I25"/>
  <c r="G17"/>
  <c r="H16"/>
  <c r="I16"/>
  <c r="G16"/>
  <c r="G15"/>
  <c r="I14"/>
  <c r="G14"/>
  <c r="G13"/>
  <c r="G25"/>
  <c r="G12"/>
  <c r="G24"/>
  <c r="F28" i="2"/>
  <c r="F23"/>
  <c r="F29"/>
  <c r="F16" i="14"/>
  <c r="H32"/>
  <c r="H39"/>
  <c r="H28"/>
  <c r="H27"/>
  <c r="H53"/>
  <c r="H48"/>
  <c r="H66"/>
  <c r="H58"/>
  <c r="G32"/>
  <c r="G28"/>
  <c r="G27"/>
  <c r="G39"/>
  <c r="G53"/>
  <c r="G48"/>
  <c r="G66"/>
  <c r="G58"/>
  <c r="F32"/>
  <c r="F39"/>
  <c r="F28"/>
  <c r="F53"/>
  <c r="F48"/>
  <c r="F66"/>
  <c r="F58"/>
  <c r="E32"/>
  <c r="E39"/>
  <c r="E28"/>
  <c r="E27"/>
  <c r="E53"/>
  <c r="E48"/>
  <c r="E66"/>
  <c r="E58"/>
  <c r="D32"/>
  <c r="D39"/>
  <c r="D28"/>
  <c r="D27"/>
  <c r="D53"/>
  <c r="D48"/>
  <c r="D66"/>
  <c r="D58"/>
  <c r="H63"/>
  <c r="G63"/>
  <c r="F63"/>
  <c r="E63"/>
  <c r="D63"/>
  <c r="F15"/>
  <c r="E16"/>
  <c r="E22"/>
  <c r="E15"/>
  <c r="D22"/>
  <c r="D15"/>
  <c r="I62" i="11"/>
  <c r="H19" i="13"/>
  <c r="H16"/>
  <c r="G28"/>
  <c r="G14"/>
  <c r="I69" i="11"/>
  <c r="H69"/>
  <c r="H157"/>
  <c r="G157"/>
  <c r="H58" i="13"/>
  <c r="G58"/>
  <c r="K53" i="12"/>
  <c r="E20" i="7"/>
  <c r="C20"/>
  <c r="H103" i="11"/>
  <c r="I103"/>
  <c r="G103"/>
  <c r="G54"/>
  <c r="G52"/>
  <c r="G46"/>
  <c r="H115" i="12"/>
  <c r="H114"/>
  <c r="H97"/>
  <c r="I112"/>
  <c r="I110"/>
  <c r="I97"/>
  <c r="H112"/>
  <c r="H111"/>
  <c r="H110"/>
  <c r="J105"/>
  <c r="H81"/>
  <c r="H80"/>
  <c r="H64"/>
  <c r="H61"/>
  <c r="L64"/>
  <c r="L61"/>
  <c r="L57"/>
  <c r="L51"/>
  <c r="J53"/>
  <c r="I53"/>
  <c r="H47"/>
  <c r="K27"/>
  <c r="K25"/>
  <c r="K12"/>
  <c r="K11"/>
  <c r="J27"/>
  <c r="I27"/>
  <c r="I25"/>
  <c r="H15" i="3"/>
  <c r="I15"/>
  <c r="G15"/>
  <c r="J15"/>
  <c r="F13"/>
  <c r="F15"/>
  <c r="F16"/>
  <c r="H137" i="11"/>
  <c r="I133"/>
  <c r="G133"/>
  <c r="I117"/>
  <c r="I116"/>
  <c r="G116"/>
  <c r="G115"/>
  <c r="G99"/>
  <c r="H115"/>
  <c r="H99"/>
  <c r="H159"/>
  <c r="I115"/>
  <c r="J115"/>
  <c r="I113"/>
  <c r="I112"/>
  <c r="G105"/>
  <c r="I101"/>
  <c r="I100"/>
  <c r="I157"/>
  <c r="J157"/>
  <c r="I99"/>
  <c r="I159"/>
  <c r="J159"/>
  <c r="G91"/>
  <c r="G97"/>
  <c r="I82"/>
  <c r="G49"/>
  <c r="I48"/>
  <c r="H33"/>
  <c r="G29"/>
  <c r="G23" i="13"/>
  <c r="I23"/>
  <c r="K24" i="7"/>
  <c r="F24"/>
  <c r="J20"/>
  <c r="H20"/>
  <c r="G20"/>
  <c r="F19"/>
  <c r="P17"/>
  <c r="K17"/>
  <c r="F17"/>
  <c r="P14"/>
  <c r="K14"/>
  <c r="F14"/>
  <c r="P11"/>
  <c r="K11"/>
  <c r="F11"/>
  <c r="D20" i="8"/>
  <c r="H20"/>
  <c r="D19"/>
  <c r="H19"/>
  <c r="G18"/>
  <c r="F18"/>
  <c r="E18"/>
  <c r="C18"/>
  <c r="D15"/>
  <c r="H15"/>
  <c r="J15"/>
  <c r="L15"/>
  <c r="D14"/>
  <c r="H14"/>
  <c r="K13"/>
  <c r="I13"/>
  <c r="G13"/>
  <c r="F13"/>
  <c r="E13"/>
  <c r="C13"/>
  <c r="I68" i="12"/>
  <c r="J68"/>
  <c r="K68"/>
  <c r="L68"/>
  <c r="H68"/>
  <c r="I22" i="13"/>
  <c r="H55"/>
  <c r="H59"/>
  <c r="I54"/>
  <c r="I53"/>
  <c r="J26"/>
  <c r="J24"/>
  <c r="J23"/>
  <c r="K23"/>
  <c r="M23"/>
  <c r="J22"/>
  <c r="K22"/>
  <c r="M22"/>
  <c r="J20"/>
  <c r="I20"/>
  <c r="J18"/>
  <c r="J14"/>
  <c r="K14"/>
  <c r="J13"/>
  <c r="H11"/>
  <c r="H60"/>
  <c r="I80" i="12"/>
  <c r="J80"/>
  <c r="K80"/>
  <c r="L80"/>
  <c r="I81" i="11"/>
  <c r="H81"/>
  <c r="G81"/>
  <c r="H13" i="5"/>
  <c r="I13"/>
  <c r="J13"/>
  <c r="K13"/>
  <c r="H19"/>
  <c r="I19"/>
  <c r="J19"/>
  <c r="K19"/>
  <c r="H27"/>
  <c r="H25"/>
  <c r="H12"/>
  <c r="H11"/>
  <c r="I27"/>
  <c r="I25"/>
  <c r="I12"/>
  <c r="I11"/>
  <c r="J27"/>
  <c r="J25"/>
  <c r="K27"/>
  <c r="K25"/>
  <c r="H33"/>
  <c r="I33"/>
  <c r="J33"/>
  <c r="K33"/>
  <c r="H43"/>
  <c r="I43"/>
  <c r="J43"/>
  <c r="K43"/>
  <c r="H53"/>
  <c r="H51"/>
  <c r="H42"/>
  <c r="I53"/>
  <c r="I51"/>
  <c r="J53"/>
  <c r="J51"/>
  <c r="K53"/>
  <c r="K51"/>
  <c r="H61"/>
  <c r="I61"/>
  <c r="J61"/>
  <c r="K61"/>
  <c r="H68"/>
  <c r="I68"/>
  <c r="J68"/>
  <c r="K68"/>
  <c r="H75"/>
  <c r="I75"/>
  <c r="J75"/>
  <c r="K75"/>
  <c r="H80"/>
  <c r="I80"/>
  <c r="J80"/>
  <c r="K80"/>
  <c r="H90"/>
  <c r="I90"/>
  <c r="J90"/>
  <c r="K90"/>
  <c r="H98"/>
  <c r="I98"/>
  <c r="J98"/>
  <c r="K98"/>
  <c r="H102"/>
  <c r="I102"/>
  <c r="J102"/>
  <c r="K102"/>
  <c r="H110"/>
  <c r="I110"/>
  <c r="J110"/>
  <c r="K110"/>
  <c r="H114"/>
  <c r="I114"/>
  <c r="J114"/>
  <c r="K114"/>
  <c r="H127"/>
  <c r="I127"/>
  <c r="J127"/>
  <c r="K127"/>
  <c r="H137"/>
  <c r="H136"/>
  <c r="H134"/>
  <c r="H126"/>
  <c r="I137"/>
  <c r="I136"/>
  <c r="I134"/>
  <c r="I126"/>
  <c r="J137"/>
  <c r="J136"/>
  <c r="J134"/>
  <c r="J126"/>
  <c r="K137"/>
  <c r="K136"/>
  <c r="K134"/>
  <c r="K126"/>
  <c r="H142"/>
  <c r="I142"/>
  <c r="J142"/>
  <c r="K142"/>
  <c r="H145"/>
  <c r="I145"/>
  <c r="J145"/>
  <c r="K145"/>
  <c r="I91" i="11"/>
  <c r="H142" i="12"/>
  <c r="H75"/>
  <c r="I76" i="11"/>
  <c r="I143"/>
  <c r="J145"/>
  <c r="H98" i="12"/>
  <c r="J148" i="11"/>
  <c r="J59" i="12"/>
  <c r="K59"/>
  <c r="L59"/>
  <c r="I59"/>
  <c r="I26" i="11"/>
  <c r="H141" i="12"/>
  <c r="H126"/>
  <c r="H119"/>
  <c r="H102"/>
  <c r="H90"/>
  <c r="H51"/>
  <c r="H43"/>
  <c r="H13"/>
  <c r="H12"/>
  <c r="L145"/>
  <c r="K145"/>
  <c r="J145"/>
  <c r="I145"/>
  <c r="L142"/>
  <c r="L141"/>
  <c r="K142"/>
  <c r="K141"/>
  <c r="J142"/>
  <c r="J141"/>
  <c r="I142"/>
  <c r="I141"/>
  <c r="L137"/>
  <c r="L136"/>
  <c r="L134"/>
  <c r="K137"/>
  <c r="J137"/>
  <c r="J136"/>
  <c r="J134"/>
  <c r="J126"/>
  <c r="I137"/>
  <c r="K136"/>
  <c r="I136"/>
  <c r="K134"/>
  <c r="I134"/>
  <c r="L127"/>
  <c r="L126"/>
  <c r="K127"/>
  <c r="J127"/>
  <c r="I127"/>
  <c r="K126"/>
  <c r="I126"/>
  <c r="M123"/>
  <c r="M122"/>
  <c r="L114"/>
  <c r="K114"/>
  <c r="J114"/>
  <c r="I114"/>
  <c r="L110"/>
  <c r="K110"/>
  <c r="J110"/>
  <c r="L102"/>
  <c r="K102"/>
  <c r="J102"/>
  <c r="I102"/>
  <c r="L98"/>
  <c r="K98"/>
  <c r="J98"/>
  <c r="I98"/>
  <c r="L90"/>
  <c r="K90"/>
  <c r="J90"/>
  <c r="I90"/>
  <c r="L75"/>
  <c r="K75"/>
  <c r="J75"/>
  <c r="I75"/>
  <c r="K61"/>
  <c r="J61"/>
  <c r="I61"/>
  <c r="K51"/>
  <c r="J51"/>
  <c r="I51"/>
  <c r="N43"/>
  <c r="L43"/>
  <c r="K43"/>
  <c r="J43"/>
  <c r="I43"/>
  <c r="L33"/>
  <c r="K33"/>
  <c r="J33"/>
  <c r="I33"/>
  <c r="L25"/>
  <c r="J25"/>
  <c r="L19"/>
  <c r="K19"/>
  <c r="J19"/>
  <c r="I19"/>
  <c r="L13"/>
  <c r="K13"/>
  <c r="J13"/>
  <c r="J12"/>
  <c r="J11"/>
  <c r="I13"/>
  <c r="L12"/>
  <c r="L11"/>
  <c r="J32" i="11"/>
  <c r="J28"/>
  <c r="J29"/>
  <c r="J25"/>
  <c r="J20"/>
  <c r="J21"/>
  <c r="J15"/>
  <c r="I52"/>
  <c r="J117"/>
  <c r="J112"/>
  <c r="J113"/>
  <c r="I127"/>
  <c r="I142"/>
  <c r="I120"/>
  <c r="G133" i="4"/>
  <c r="J68" i="11"/>
  <c r="I58"/>
  <c r="I44"/>
  <c r="I111"/>
  <c r="I14"/>
  <c r="J156"/>
  <c r="J155"/>
  <c r="J152"/>
  <c r="J146"/>
  <c r="G146"/>
  <c r="J144"/>
  <c r="J143"/>
  <c r="G143"/>
  <c r="G142"/>
  <c r="H142"/>
  <c r="J142"/>
  <c r="J138"/>
  <c r="G138"/>
  <c r="J137"/>
  <c r="G137"/>
  <c r="J136"/>
  <c r="H135"/>
  <c r="J135"/>
  <c r="G135"/>
  <c r="J134"/>
  <c r="J133"/>
  <c r="J130"/>
  <c r="J129"/>
  <c r="H128"/>
  <c r="J128"/>
  <c r="G128"/>
  <c r="G127"/>
  <c r="J124"/>
  <c r="J123"/>
  <c r="J122"/>
  <c r="J121"/>
  <c r="H120"/>
  <c r="J120"/>
  <c r="G120"/>
  <c r="J116"/>
  <c r="H111"/>
  <c r="G111"/>
  <c r="J107"/>
  <c r="J106"/>
  <c r="J104"/>
  <c r="J101"/>
  <c r="J97"/>
  <c r="J96"/>
  <c r="J95"/>
  <c r="J94"/>
  <c r="J93"/>
  <c r="H91"/>
  <c r="J91"/>
  <c r="J84"/>
  <c r="J83"/>
  <c r="J82"/>
  <c r="J81"/>
  <c r="J80"/>
  <c r="J79"/>
  <c r="J78"/>
  <c r="J77"/>
  <c r="H76"/>
  <c r="J76"/>
  <c r="G76"/>
  <c r="J75"/>
  <c r="J74"/>
  <c r="J73"/>
  <c r="J72"/>
  <c r="J71"/>
  <c r="J69"/>
  <c r="G69"/>
  <c r="J65"/>
  <c r="J63"/>
  <c r="H62"/>
  <c r="H58"/>
  <c r="G62"/>
  <c r="G58"/>
  <c r="G43"/>
  <c r="J61"/>
  <c r="J60"/>
  <c r="J57"/>
  <c r="J56"/>
  <c r="J55"/>
  <c r="J54"/>
  <c r="J53"/>
  <c r="H52"/>
  <c r="J52"/>
  <c r="J50"/>
  <c r="J49"/>
  <c r="J48"/>
  <c r="J47"/>
  <c r="J46"/>
  <c r="J45"/>
  <c r="H44"/>
  <c r="J44"/>
  <c r="J38"/>
  <c r="J37"/>
  <c r="H34"/>
  <c r="J34"/>
  <c r="G34"/>
  <c r="J33"/>
  <c r="J31"/>
  <c r="G28"/>
  <c r="G26"/>
  <c r="G13"/>
  <c r="J27"/>
  <c r="H26"/>
  <c r="J26"/>
  <c r="J24"/>
  <c r="G20"/>
  <c r="J18"/>
  <c r="J17"/>
  <c r="J16"/>
  <c r="H14"/>
  <c r="G14"/>
  <c r="H157" i="4"/>
  <c r="G157"/>
  <c r="G91"/>
  <c r="G97"/>
  <c r="G116"/>
  <c r="G49"/>
  <c r="G46"/>
  <c r="G29"/>
  <c r="G20"/>
  <c r="H137"/>
  <c r="H34"/>
  <c r="G13" i="13"/>
  <c r="I13"/>
  <c r="H26" i="4"/>
  <c r="H16" i="3"/>
  <c r="H14" i="4"/>
  <c r="H44"/>
  <c r="H52"/>
  <c r="H62"/>
  <c r="H58"/>
  <c r="H43"/>
  <c r="H91"/>
  <c r="G18" i="13"/>
  <c r="I18"/>
  <c r="H103" i="4"/>
  <c r="G57" i="13"/>
  <c r="H111" i="4"/>
  <c r="H120"/>
  <c r="G25" i="13"/>
  <c r="I25"/>
  <c r="H128" i="4"/>
  <c r="H142"/>
  <c r="G27" i="13"/>
  <c r="I27"/>
  <c r="M52" i="1"/>
  <c r="L51"/>
  <c r="L52"/>
  <c r="M51"/>
  <c r="L53"/>
  <c r="M53"/>
  <c r="D29" i="2"/>
  <c r="B23" i="10"/>
  <c r="E29" i="2"/>
  <c r="G29"/>
  <c r="H73" i="4"/>
  <c r="E12" i="3"/>
  <c r="D12"/>
  <c r="C12"/>
  <c r="G72" i="5"/>
  <c r="G70"/>
  <c r="G71"/>
  <c r="G69"/>
  <c r="J34" i="1"/>
  <c r="K34"/>
  <c r="M34"/>
  <c r="J35"/>
  <c r="K35"/>
  <c r="J36"/>
  <c r="K36"/>
  <c r="G34" i="4"/>
  <c r="G128"/>
  <c r="H135"/>
  <c r="G138"/>
  <c r="G137"/>
  <c r="G135"/>
  <c r="G127"/>
  <c r="I15"/>
  <c r="I19"/>
  <c r="I68"/>
  <c r="I70"/>
  <c r="J70"/>
  <c r="I71"/>
  <c r="J71"/>
  <c r="I72"/>
  <c r="J72"/>
  <c r="G124" i="5"/>
  <c r="I125" i="4"/>
  <c r="G125" i="5"/>
  <c r="I126" i="4"/>
  <c r="G128" i="5"/>
  <c r="I129" i="4"/>
  <c r="J129"/>
  <c r="G129" i="5"/>
  <c r="I130" i="4"/>
  <c r="J130"/>
  <c r="G130" i="5"/>
  <c r="I131" i="4"/>
  <c r="J131"/>
  <c r="G131" i="5"/>
  <c r="I132" i="4"/>
  <c r="J132"/>
  <c r="G132" i="5"/>
  <c r="I133" i="4"/>
  <c r="J133"/>
  <c r="G135" i="5"/>
  <c r="I136" i="4"/>
  <c r="J136"/>
  <c r="G138" i="5"/>
  <c r="I139" i="4"/>
  <c r="J139"/>
  <c r="G139" i="5"/>
  <c r="I140" i="4"/>
  <c r="J140"/>
  <c r="G140" i="5"/>
  <c r="I141" i="4"/>
  <c r="G143" i="5"/>
  <c r="G144"/>
  <c r="I145" i="4"/>
  <c r="G146" i="5"/>
  <c r="G147"/>
  <c r="I148" i="4"/>
  <c r="G148" i="5"/>
  <c r="I149" i="4"/>
  <c r="J149"/>
  <c r="G149" i="5"/>
  <c r="I150" i="4"/>
  <c r="G151" i="5"/>
  <c r="I152" i="4"/>
  <c r="J152"/>
  <c r="G145" i="5"/>
  <c r="I146" i="4"/>
  <c r="J146"/>
  <c r="I147"/>
  <c r="G127" i="5"/>
  <c r="I128" i="4"/>
  <c r="J128"/>
  <c r="G142" i="5"/>
  <c r="I143" i="4"/>
  <c r="J143"/>
  <c r="I144"/>
  <c r="J144"/>
  <c r="G137" i="5"/>
  <c r="G141"/>
  <c r="I142" i="4"/>
  <c r="G136" i="5"/>
  <c r="G134"/>
  <c r="I138" i="4"/>
  <c r="J138"/>
  <c r="I137"/>
  <c r="J137"/>
  <c r="M43" i="5"/>
  <c r="G133"/>
  <c r="L123"/>
  <c r="L122"/>
  <c r="G112"/>
  <c r="I113" i="4"/>
  <c r="G113" i="5"/>
  <c r="I114" i="4"/>
  <c r="G111" i="5"/>
  <c r="I112" i="4"/>
  <c r="H25" i="1"/>
  <c r="J25"/>
  <c r="K25"/>
  <c r="G106" i="5"/>
  <c r="I107" i="4"/>
  <c r="J107"/>
  <c r="G107" i="5"/>
  <c r="I108" i="4"/>
  <c r="G108" i="5"/>
  <c r="I109" i="4"/>
  <c r="J109"/>
  <c r="G109" i="5"/>
  <c r="I110" i="4"/>
  <c r="G105" i="5"/>
  <c r="I106" i="4"/>
  <c r="J106"/>
  <c r="G104" i="5"/>
  <c r="I105" i="4"/>
  <c r="G105"/>
  <c r="G103" i="5"/>
  <c r="I104" i="4"/>
  <c r="J104"/>
  <c r="G116" i="5"/>
  <c r="I117" i="4"/>
  <c r="J117"/>
  <c r="G117" i="5"/>
  <c r="I118" i="4"/>
  <c r="G118" i="5"/>
  <c r="I119" i="4"/>
  <c r="G115" i="5"/>
  <c r="I116" i="4"/>
  <c r="J116"/>
  <c r="G101" i="5"/>
  <c r="I102" i="4"/>
  <c r="J102"/>
  <c r="G99" i="5"/>
  <c r="I100" i="4"/>
  <c r="I134"/>
  <c r="J134"/>
  <c r="G100" i="5"/>
  <c r="I101" i="4"/>
  <c r="J101"/>
  <c r="G92" i="5"/>
  <c r="I93" i="4"/>
  <c r="J93"/>
  <c r="G93" i="5"/>
  <c r="I94" i="4"/>
  <c r="J94"/>
  <c r="G94" i="5"/>
  <c r="I95" i="4"/>
  <c r="J95"/>
  <c r="G95" i="5"/>
  <c r="I96" i="4"/>
  <c r="J96"/>
  <c r="G96" i="5"/>
  <c r="I97" i="4"/>
  <c r="J97"/>
  <c r="G91" i="5"/>
  <c r="I92" i="4"/>
  <c r="G81" i="5"/>
  <c r="I82" i="4"/>
  <c r="J82"/>
  <c r="G73" i="5"/>
  <c r="I74" i="4"/>
  <c r="J74"/>
  <c r="G74" i="5"/>
  <c r="I75" i="4"/>
  <c r="J75"/>
  <c r="I73"/>
  <c r="G45" i="5"/>
  <c r="G89"/>
  <c r="I90" i="4"/>
  <c r="J90"/>
  <c r="G83" i="5"/>
  <c r="I84" i="4"/>
  <c r="J84"/>
  <c r="G84" i="5"/>
  <c r="I85" i="4"/>
  <c r="J85"/>
  <c r="G85" i="5"/>
  <c r="I86" i="4"/>
  <c r="J86"/>
  <c r="G86" i="5"/>
  <c r="I87" i="4"/>
  <c r="J87"/>
  <c r="G87" i="5"/>
  <c r="I88" i="4"/>
  <c r="J88"/>
  <c r="G88" i="5"/>
  <c r="I89" i="4"/>
  <c r="G82" i="5"/>
  <c r="I83" i="4"/>
  <c r="J83"/>
  <c r="G79" i="5"/>
  <c r="I80" i="4"/>
  <c r="J80"/>
  <c r="G78" i="5"/>
  <c r="I79" i="4"/>
  <c r="J79"/>
  <c r="G77" i="5"/>
  <c r="I78" i="4"/>
  <c r="J78"/>
  <c r="G76" i="5"/>
  <c r="I77" i="4"/>
  <c r="J77"/>
  <c r="G63" i="5"/>
  <c r="I64" i="4"/>
  <c r="J64"/>
  <c r="G64" i="5"/>
  <c r="I65" i="4"/>
  <c r="J65"/>
  <c r="G65" i="5"/>
  <c r="I66" i="4"/>
  <c r="J66"/>
  <c r="G66" i="5"/>
  <c r="I67" i="4"/>
  <c r="J67"/>
  <c r="G62" i="5"/>
  <c r="I63" i="4"/>
  <c r="J63"/>
  <c r="G60" i="5"/>
  <c r="I61" i="4"/>
  <c r="J61"/>
  <c r="G59" i="5"/>
  <c r="I60" i="4"/>
  <c r="J60"/>
  <c r="G58" i="5"/>
  <c r="I59" i="4"/>
  <c r="J59"/>
  <c r="I46"/>
  <c r="G56" i="5"/>
  <c r="I57" i="4"/>
  <c r="J57"/>
  <c r="G55" i="5"/>
  <c r="I56" i="4"/>
  <c r="J56"/>
  <c r="G54" i="5"/>
  <c r="I55" i="4"/>
  <c r="J55"/>
  <c r="G52" i="5"/>
  <c r="I53" i="4"/>
  <c r="J53"/>
  <c r="G48" i="5"/>
  <c r="G49"/>
  <c r="I50" i="4"/>
  <c r="J50"/>
  <c r="G50" i="5"/>
  <c r="I51" i="4"/>
  <c r="G47" i="5"/>
  <c r="I48" i="4"/>
  <c r="J48"/>
  <c r="G46" i="5"/>
  <c r="G44"/>
  <c r="I47" i="4"/>
  <c r="J47"/>
  <c r="I49"/>
  <c r="J49"/>
  <c r="G43" i="5"/>
  <c r="I44" i="4"/>
  <c r="J44"/>
  <c r="G39" i="5"/>
  <c r="I40" i="4"/>
  <c r="H16" i="1"/>
  <c r="J16"/>
  <c r="K16"/>
  <c r="G38" i="5"/>
  <c r="I39" i="4"/>
  <c r="G37" i="5"/>
  <c r="I38" i="4"/>
  <c r="J38"/>
  <c r="G36" i="5"/>
  <c r="I37" i="4"/>
  <c r="J37"/>
  <c r="G35" i="5"/>
  <c r="I36" i="4"/>
  <c r="G34" i="5"/>
  <c r="I35" i="4"/>
  <c r="G31" i="5"/>
  <c r="I32" i="4"/>
  <c r="G30" i="5"/>
  <c r="I31" i="4"/>
  <c r="J31"/>
  <c r="I30"/>
  <c r="I29"/>
  <c r="G26" i="5"/>
  <c r="I27" i="4"/>
  <c r="J27"/>
  <c r="I25"/>
  <c r="G21" i="5"/>
  <c r="I22" i="4"/>
  <c r="G22" i="5"/>
  <c r="I23" i="4"/>
  <c r="G20" i="5"/>
  <c r="I21" i="4"/>
  <c r="G23" i="5"/>
  <c r="I24" i="4"/>
  <c r="J24"/>
  <c r="G16" i="5"/>
  <c r="I17" i="4"/>
  <c r="J17"/>
  <c r="G17" i="5"/>
  <c r="I18" i="4"/>
  <c r="J18"/>
  <c r="G15" i="5"/>
  <c r="I16" i="4"/>
  <c r="J16"/>
  <c r="G33" i="5"/>
  <c r="I34" i="4"/>
  <c r="G27" i="5"/>
  <c r="I28" i="4"/>
  <c r="G32" i="5"/>
  <c r="I33" i="4"/>
  <c r="J33"/>
  <c r="F26" i="10"/>
  <c r="B26"/>
  <c r="B24"/>
  <c r="F24"/>
  <c r="G56" i="1"/>
  <c r="I56"/>
  <c r="G68" i="5"/>
  <c r="I69" i="4"/>
  <c r="J69"/>
  <c r="G28"/>
  <c r="G26"/>
  <c r="G14"/>
  <c r="G13" i="3"/>
  <c r="B9" i="10"/>
  <c r="B7"/>
  <c r="C6"/>
  <c r="B6"/>
  <c r="G61" i="5"/>
  <c r="I62" i="4"/>
  <c r="J62"/>
  <c r="G114" i="5"/>
  <c r="I115" i="4"/>
  <c r="H26" i="1"/>
  <c r="G110" i="5"/>
  <c r="I111" i="4"/>
  <c r="H24" i="1"/>
  <c r="J24"/>
  <c r="K24"/>
  <c r="J156" i="5"/>
  <c r="J120"/>
  <c r="G98"/>
  <c r="I99" i="4"/>
  <c r="G90" i="5"/>
  <c r="I91" i="4"/>
  <c r="G53" i="5"/>
  <c r="G51"/>
  <c r="I52" i="4"/>
  <c r="J52"/>
  <c r="F12" i="3"/>
  <c r="I156" i="5"/>
  <c r="I120"/>
  <c r="I119"/>
  <c r="I97"/>
  <c r="I41"/>
  <c r="I40"/>
  <c r="H156"/>
  <c r="H120"/>
  <c r="K156"/>
  <c r="K120"/>
  <c r="K119"/>
  <c r="K97"/>
  <c r="K41"/>
  <c r="K40"/>
  <c r="I54" i="4"/>
  <c r="G19" i="5"/>
  <c r="I20" i="4"/>
  <c r="G30" i="1"/>
  <c r="G25"/>
  <c r="G16"/>
  <c r="G146" i="4"/>
  <c r="G143"/>
  <c r="G120"/>
  <c r="G27" i="1"/>
  <c r="H115" i="4"/>
  <c r="H99"/>
  <c r="G115"/>
  <c r="G99"/>
  <c r="G158"/>
  <c r="G24" i="1"/>
  <c r="G111" i="4"/>
  <c r="G103"/>
  <c r="G20" i="1"/>
  <c r="G76" i="4"/>
  <c r="H76"/>
  <c r="G69"/>
  <c r="G62"/>
  <c r="G58"/>
  <c r="G54"/>
  <c r="G52"/>
  <c r="G43"/>
  <c r="G42"/>
  <c r="G41"/>
  <c r="G44"/>
  <c r="J46"/>
  <c r="J73"/>
  <c r="J147"/>
  <c r="J155"/>
  <c r="J156"/>
  <c r="I34" i="1"/>
  <c r="I40"/>
  <c r="I55"/>
  <c r="L40"/>
  <c r="L55"/>
  <c r="L56"/>
  <c r="M39"/>
  <c r="M40"/>
  <c r="M55"/>
  <c r="M56"/>
  <c r="G59"/>
  <c r="B4" i="10"/>
  <c r="G142" i="4"/>
  <c r="J115"/>
  <c r="J54"/>
  <c r="G29" i="1"/>
  <c r="G15"/>
  <c r="G23"/>
  <c r="G102" i="5"/>
  <c r="I103" i="4"/>
  <c r="L39" i="1"/>
  <c r="B5" i="10"/>
  <c r="J13" i="3"/>
  <c r="G159" i="4"/>
  <c r="J141" i="5"/>
  <c r="H141"/>
  <c r="J57"/>
  <c r="H57"/>
  <c r="I12" i="12"/>
  <c r="G44" i="11"/>
  <c r="I45" i="4"/>
  <c r="J45"/>
  <c r="H13"/>
  <c r="G12" i="13"/>
  <c r="K141" i="5"/>
  <c r="I141"/>
  <c r="K57"/>
  <c r="I57"/>
  <c r="G21" i="13"/>
  <c r="I21"/>
  <c r="G24"/>
  <c r="H13" i="3"/>
  <c r="C5" i="10"/>
  <c r="C7"/>
  <c r="H26"/>
  <c r="L34" i="1"/>
  <c r="D18" i="8"/>
  <c r="H98" i="11"/>
  <c r="K57" i="12"/>
  <c r="K42"/>
  <c r="I57"/>
  <c r="I42"/>
  <c r="I41"/>
  <c r="I40"/>
  <c r="I150"/>
  <c r="I11"/>
  <c r="H127" i="11"/>
  <c r="J127"/>
  <c r="J62"/>
  <c r="F20" i="7"/>
  <c r="P24"/>
  <c r="D13" i="8"/>
  <c r="J57" i="12"/>
  <c r="J42"/>
  <c r="L22" i="13"/>
  <c r="L23"/>
  <c r="L24"/>
  <c r="K24"/>
  <c r="M24"/>
  <c r="L26"/>
  <c r="K26"/>
  <c r="M26"/>
  <c r="I58"/>
  <c r="L13"/>
  <c r="K13"/>
  <c r="M13"/>
  <c r="L18"/>
  <c r="K18"/>
  <c r="M18"/>
  <c r="L20"/>
  <c r="K20"/>
  <c r="M20"/>
  <c r="J12"/>
  <c r="J17"/>
  <c r="J19"/>
  <c r="J21"/>
  <c r="I24"/>
  <c r="J25"/>
  <c r="J27"/>
  <c r="I56"/>
  <c r="J11"/>
  <c r="J42" i="5"/>
  <c r="J12"/>
  <c r="J11"/>
  <c r="K42"/>
  <c r="I42"/>
  <c r="K12"/>
  <c r="K11"/>
  <c r="K150"/>
  <c r="K152"/>
  <c r="G13"/>
  <c r="J14" i="11"/>
  <c r="K123" i="5"/>
  <c r="I123"/>
  <c r="K122"/>
  <c r="I122"/>
  <c r="K121"/>
  <c r="I121"/>
  <c r="J123"/>
  <c r="H123"/>
  <c r="J122"/>
  <c r="H122"/>
  <c r="J121"/>
  <c r="J119"/>
  <c r="J97"/>
  <c r="J41"/>
  <c r="J40"/>
  <c r="J150"/>
  <c r="J152"/>
  <c r="H121"/>
  <c r="H59" i="1"/>
  <c r="H23"/>
  <c r="J103" i="4"/>
  <c r="H58" i="1"/>
  <c r="H22"/>
  <c r="J22"/>
  <c r="I159" i="4"/>
  <c r="I158"/>
  <c r="G25" i="5"/>
  <c r="K159" i="12"/>
  <c r="J159"/>
  <c r="I159"/>
  <c r="L159"/>
  <c r="J111" i="11"/>
  <c r="I13"/>
  <c r="I163"/>
  <c r="I12"/>
  <c r="I160"/>
  <c r="I161"/>
  <c r="H13"/>
  <c r="H163"/>
  <c r="J103"/>
  <c r="I98"/>
  <c r="J98"/>
  <c r="I43"/>
  <c r="I42"/>
  <c r="I41"/>
  <c r="I14" i="4"/>
  <c r="J14"/>
  <c r="J99" i="11"/>
  <c r="J100"/>
  <c r="G98" i="4"/>
  <c r="G26" i="1"/>
  <c r="H20"/>
  <c r="J91" i="4"/>
  <c r="G121" i="5"/>
  <c r="I122" i="4"/>
  <c r="J122"/>
  <c r="G123" i="5"/>
  <c r="I124" i="4"/>
  <c r="J124"/>
  <c r="G156" i="5"/>
  <c r="G122"/>
  <c r="I123" i="4"/>
  <c r="J123"/>
  <c r="H12"/>
  <c r="H163"/>
  <c r="G14" i="1"/>
  <c r="G13"/>
  <c r="G62"/>
  <c r="H127" i="4"/>
  <c r="G26" i="13"/>
  <c r="I26"/>
  <c r="H60" i="1"/>
  <c r="C3" i="10"/>
  <c r="H15" i="1"/>
  <c r="J34" i="4"/>
  <c r="G80" i="5"/>
  <c r="G75"/>
  <c r="I76" i="4"/>
  <c r="J76"/>
  <c r="J13" i="11"/>
  <c r="J58" i="1"/>
  <c r="K58"/>
  <c r="M58"/>
  <c r="K19" i="13"/>
  <c r="M19"/>
  <c r="L19"/>
  <c r="K17"/>
  <c r="M17"/>
  <c r="L17"/>
  <c r="K12"/>
  <c r="M12"/>
  <c r="L12"/>
  <c r="L11"/>
  <c r="K11"/>
  <c r="K27"/>
  <c r="M27"/>
  <c r="L27"/>
  <c r="K25"/>
  <c r="M25"/>
  <c r="L25"/>
  <c r="K21"/>
  <c r="M21"/>
  <c r="L21"/>
  <c r="I26" i="4"/>
  <c r="J26"/>
  <c r="G12" i="5"/>
  <c r="C4" i="10"/>
  <c r="I59" i="1"/>
  <c r="J59"/>
  <c r="K59"/>
  <c r="M59"/>
  <c r="J23"/>
  <c r="I23"/>
  <c r="I119" i="12"/>
  <c r="H159"/>
  <c r="H12" i="11"/>
  <c r="H162"/>
  <c r="K119" i="12"/>
  <c r="K97"/>
  <c r="J119"/>
  <c r="I81" i="4"/>
  <c r="J81"/>
  <c r="G57" i="5"/>
  <c r="J60" i="1"/>
  <c r="G63"/>
  <c r="H162" i="4"/>
  <c r="H160"/>
  <c r="J20" i="1"/>
  <c r="I20"/>
  <c r="J15"/>
  <c r="K15"/>
  <c r="M15"/>
  <c r="I15"/>
  <c r="G28"/>
  <c r="G32"/>
  <c r="L58"/>
  <c r="J97" i="12"/>
  <c r="J41"/>
  <c r="J40"/>
  <c r="J150"/>
  <c r="K41"/>
  <c r="K40"/>
  <c r="K150"/>
  <c r="M11" i="13"/>
  <c r="K23" i="1"/>
  <c r="M23"/>
  <c r="L23"/>
  <c r="L59"/>
  <c r="I13" i="4"/>
  <c r="H14" i="1"/>
  <c r="G11" i="5"/>
  <c r="N12"/>
  <c r="L119" i="12"/>
  <c r="J12" i="11"/>
  <c r="H161" i="4"/>
  <c r="K60" i="1"/>
  <c r="M60"/>
  <c r="L60"/>
  <c r="L15"/>
  <c r="K20"/>
  <c r="M20"/>
  <c r="L20"/>
  <c r="I58" i="4"/>
  <c r="J58"/>
  <c r="G42" i="5"/>
  <c r="L97" i="12"/>
  <c r="I12" i="4"/>
  <c r="N11" i="5"/>
  <c r="I151" i="11"/>
  <c r="I43" i="4"/>
  <c r="I160"/>
  <c r="I161"/>
  <c r="J161"/>
  <c r="I162"/>
  <c r="J162"/>
  <c r="J12"/>
  <c r="H19" i="1"/>
  <c r="J43" i="4"/>
  <c r="J19" i="1"/>
  <c r="K19"/>
  <c r="M19"/>
  <c r="L19"/>
  <c r="I163" i="4"/>
  <c r="J163"/>
  <c r="H57" i="1"/>
  <c r="H24" i="10"/>
  <c r="H12" i="9"/>
  <c r="L42" i="12"/>
  <c r="H13" i="1"/>
  <c r="J14"/>
  <c r="I14"/>
  <c r="J57"/>
  <c r="H61"/>
  <c r="J26"/>
  <c r="I26"/>
  <c r="J13" i="4"/>
  <c r="K22" i="1"/>
  <c r="M22"/>
  <c r="L22"/>
  <c r="G11" i="13"/>
  <c r="I12"/>
  <c r="K26" i="1"/>
  <c r="M26"/>
  <c r="L26"/>
  <c r="G120" i="5"/>
  <c r="H119"/>
  <c r="G13" i="4"/>
  <c r="G16" i="3"/>
  <c r="J100" i="4"/>
  <c r="I157"/>
  <c r="J157"/>
  <c r="I135"/>
  <c r="J135"/>
  <c r="G126" i="5"/>
  <c r="I127" i="4"/>
  <c r="H28" i="13"/>
  <c r="J28"/>
  <c r="K28"/>
  <c r="H30" i="1"/>
  <c r="J30"/>
  <c r="K30"/>
  <c r="G55" i="13"/>
  <c r="I57"/>
  <c r="G17"/>
  <c r="I17"/>
  <c r="G19" i="1"/>
  <c r="I19"/>
  <c r="H61" i="13"/>
  <c r="H13" i="8"/>
  <c r="B10" i="10"/>
  <c r="J14" i="8"/>
  <c r="G102" i="11"/>
  <c r="G159"/>
  <c r="G158"/>
  <c r="G98"/>
  <c r="J160" i="4"/>
  <c r="G42" i="11"/>
  <c r="G41"/>
  <c r="H41" i="5"/>
  <c r="H40"/>
  <c r="H150"/>
  <c r="H152"/>
  <c r="H18" i="8"/>
  <c r="H57" i="12"/>
  <c r="H42"/>
  <c r="H41"/>
  <c r="G58" i="1"/>
  <c r="G22"/>
  <c r="I22"/>
  <c r="H98" i="4"/>
  <c r="H159"/>
  <c r="H158"/>
  <c r="J158"/>
  <c r="J99"/>
  <c r="J142"/>
  <c r="H29" i="1"/>
  <c r="C8" i="10"/>
  <c r="I16" i="3"/>
  <c r="H12"/>
  <c r="G163" i="11"/>
  <c r="G12"/>
  <c r="J58"/>
  <c r="H43"/>
  <c r="H11" i="12"/>
  <c r="O12"/>
  <c r="H15" i="13"/>
  <c r="J16"/>
  <c r="J163" i="11"/>
  <c r="J159" i="4"/>
  <c r="I150" i="5"/>
  <c r="I152"/>
  <c r="F27" i="14"/>
  <c r="I102" i="11"/>
  <c r="J102"/>
  <c r="H160"/>
  <c r="I162"/>
  <c r="J162"/>
  <c r="G19" i="13"/>
  <c r="I19"/>
  <c r="H158" i="11"/>
  <c r="I158"/>
  <c r="I12" i="9"/>
  <c r="I24"/>
  <c r="H24"/>
  <c r="L41" i="12"/>
  <c r="I13" i="1"/>
  <c r="J13"/>
  <c r="H62"/>
  <c r="J61"/>
  <c r="L61"/>
  <c r="K57"/>
  <c r="L57"/>
  <c r="L14"/>
  <c r="K14"/>
  <c r="M14"/>
  <c r="H161" i="11"/>
  <c r="J161"/>
  <c r="J160"/>
  <c r="H29" i="13"/>
  <c r="J29"/>
  <c r="J15"/>
  <c r="H63"/>
  <c r="O11" i="12"/>
  <c r="I12" i="3"/>
  <c r="J16"/>
  <c r="J29" i="1"/>
  <c r="I29"/>
  <c r="G21"/>
  <c r="H42" i="4"/>
  <c r="I58" i="1"/>
  <c r="G57"/>
  <c r="G60"/>
  <c r="I60"/>
  <c r="B3" i="10"/>
  <c r="G59" i="13"/>
  <c r="I59"/>
  <c r="I55"/>
  <c r="G12" i="3"/>
  <c r="B8" i="10"/>
  <c r="J158" i="11"/>
  <c r="L16" i="13"/>
  <c r="K16"/>
  <c r="M16"/>
  <c r="H42" i="11"/>
  <c r="J43"/>
  <c r="G151"/>
  <c r="G162"/>
  <c r="G160"/>
  <c r="G161"/>
  <c r="H40" i="12"/>
  <c r="O40"/>
  <c r="O41"/>
  <c r="L14" i="8"/>
  <c r="L13"/>
  <c r="B12" i="10"/>
  <c r="J13" i="8"/>
  <c r="B11" i="10"/>
  <c r="H28" i="1"/>
  <c r="J127" i="4"/>
  <c r="G12"/>
  <c r="G163"/>
  <c r="I121"/>
  <c r="J121"/>
  <c r="G119" i="5"/>
  <c r="I11" i="13"/>
  <c r="G60"/>
  <c r="L40" i="12"/>
  <c r="K61" i="1"/>
  <c r="M61"/>
  <c r="M57"/>
  <c r="H63"/>
  <c r="I63"/>
  <c r="I62"/>
  <c r="K13"/>
  <c r="L13"/>
  <c r="J62"/>
  <c r="G61" i="13"/>
  <c r="I61"/>
  <c r="I60"/>
  <c r="I120" i="4"/>
  <c r="G97" i="5"/>
  <c r="H41" i="11"/>
  <c r="J42"/>
  <c r="K29" i="1"/>
  <c r="M29"/>
  <c r="L29"/>
  <c r="K29" i="13"/>
  <c r="M29"/>
  <c r="L29"/>
  <c r="J12" i="3"/>
  <c r="H150" i="12"/>
  <c r="G160" i="4"/>
  <c r="G161"/>
  <c r="G162"/>
  <c r="G151"/>
  <c r="J28" i="1"/>
  <c r="I28"/>
  <c r="G61"/>
  <c r="I61"/>
  <c r="I57"/>
  <c r="G18"/>
  <c r="G17"/>
  <c r="G16" i="13"/>
  <c r="H41" i="4"/>
  <c r="H151"/>
  <c r="J63" i="13"/>
  <c r="K15"/>
  <c r="L15"/>
  <c r="L150" i="12"/>
  <c r="J63" i="1"/>
  <c r="L63"/>
  <c r="L62"/>
  <c r="K62"/>
  <c r="M13"/>
  <c r="G15" i="13"/>
  <c r="I16"/>
  <c r="H151" i="11"/>
  <c r="J151"/>
  <c r="J41"/>
  <c r="H27" i="1"/>
  <c r="J120" i="4"/>
  <c r="K63" i="13"/>
  <c r="M15"/>
  <c r="G65" i="1"/>
  <c r="G31"/>
  <c r="G33"/>
  <c r="K28"/>
  <c r="M28"/>
  <c r="L28"/>
  <c r="I98" i="4"/>
  <c r="G41" i="5"/>
  <c r="K63" i="1"/>
  <c r="M63"/>
  <c r="M62"/>
  <c r="J98" i="4"/>
  <c r="H21" i="1"/>
  <c r="I27"/>
  <c r="J27"/>
  <c r="G63" i="13"/>
  <c r="I15"/>
  <c r="G29"/>
  <c r="G40" i="5"/>
  <c r="I42" i="4"/>
  <c r="N41" i="5"/>
  <c r="G37" i="1"/>
  <c r="G39"/>
  <c r="I39"/>
  <c r="H18"/>
  <c r="J42" i="4"/>
  <c r="I41"/>
  <c r="J41"/>
  <c r="G150" i="5"/>
  <c r="N40"/>
  <c r="L27" i="1"/>
  <c r="K27"/>
  <c r="M27"/>
  <c r="I21"/>
  <c r="J21"/>
  <c r="H17"/>
  <c r="J18"/>
  <c r="I18"/>
  <c r="K21"/>
  <c r="M21"/>
  <c r="L21"/>
  <c r="I151" i="4"/>
  <c r="G152" i="5"/>
  <c r="I153" i="4"/>
  <c r="J151"/>
  <c r="H32" i="1"/>
  <c r="J153" i="4"/>
  <c r="I17" i="1"/>
  <c r="H31"/>
  <c r="H65"/>
  <c r="I65"/>
  <c r="J17"/>
  <c r="L18"/>
  <c r="K18"/>
  <c r="M18"/>
  <c r="K17"/>
  <c r="J65"/>
  <c r="L65"/>
  <c r="L17"/>
  <c r="J31"/>
  <c r="F23" i="10"/>
  <c r="H23"/>
  <c r="H33" i="1"/>
  <c r="I31"/>
  <c r="F25" i="10"/>
  <c r="J32" i="1"/>
  <c r="I32"/>
  <c r="L31"/>
  <c r="K31"/>
  <c r="K32"/>
  <c r="M32"/>
  <c r="L32"/>
  <c r="K65"/>
  <c r="M65"/>
  <c r="M17"/>
  <c r="J33"/>
  <c r="H37"/>
  <c r="I37"/>
  <c r="I33"/>
  <c r="J37"/>
  <c r="L37"/>
  <c r="L33"/>
  <c r="K33"/>
  <c r="M31"/>
  <c r="M33"/>
  <c r="K37"/>
  <c r="M37"/>
  <c r="B25" i="10"/>
  <c r="H25"/>
</calcChain>
</file>

<file path=xl/comments1.xml><?xml version="1.0" encoding="utf-8"?>
<comments xmlns="http://schemas.openxmlformats.org/spreadsheetml/2006/main">
  <authors>
    <author>Grete Sturm</author>
  </authors>
  <commentList>
    <comment ref="I12" authorId="0">
      <text>
        <r>
          <rPr>
            <b/>
            <sz val="8"/>
            <color indexed="81"/>
            <rFont val="Tahoma"/>
            <family val="2"/>
          </rPr>
          <t>Grete Sturm:</t>
        </r>
        <r>
          <rPr>
            <sz val="8"/>
            <color indexed="81"/>
            <rFont val="Tahoma"/>
            <family val="2"/>
          </rPr>
          <t xml:space="preserve">
rrrrrrrrrrrrr</t>
        </r>
      </text>
    </comment>
  </commentList>
</comments>
</file>

<file path=xl/sharedStrings.xml><?xml version="1.0" encoding="utf-8"?>
<sst xmlns="http://schemas.openxmlformats.org/spreadsheetml/2006/main" count="2592" uniqueCount="861">
  <si>
    <t>chetuieli cu salariile</t>
  </si>
  <si>
    <t xml:space="preserve">BUGETUL DE VENITURI SI CHELTUIELI </t>
  </si>
  <si>
    <t>pe anul         2013</t>
  </si>
  <si>
    <t>1</t>
  </si>
  <si>
    <t>7</t>
  </si>
  <si>
    <r>
      <rPr>
        <b/>
        <sz val="10"/>
        <rFont val="Arial"/>
        <family val="2"/>
      </rPr>
      <t>2</t>
    </r>
  </si>
  <si>
    <r>
      <rPr>
        <b/>
        <sz val="10"/>
        <rFont val="Arial"/>
        <family val="2"/>
      </rPr>
      <t>INDICATORI</t>
    </r>
  </si>
  <si>
    <r>
      <rPr>
        <b/>
        <sz val="10"/>
        <rFont val="Arial"/>
        <family val="2"/>
      </rPr>
      <t>Nr.</t>
    </r>
  </si>
  <si>
    <r>
      <rPr>
        <b/>
        <sz val="10"/>
        <rFont val="Arial"/>
        <family val="2"/>
      </rPr>
      <t>rd.</t>
    </r>
  </si>
  <si>
    <r>
      <rPr>
        <b/>
        <sz val="10"/>
        <rFont val="Arial"/>
        <family val="2"/>
      </rPr>
      <t>Aprobat</t>
    </r>
  </si>
  <si>
    <r>
      <rPr>
        <b/>
        <sz val="10"/>
        <rFont val="Arial"/>
        <family val="2"/>
      </rPr>
      <t>Preliminat / Realizat)</t>
    </r>
  </si>
  <si>
    <r>
      <rPr>
        <b/>
        <sz val="10"/>
        <rFont val="Arial"/>
        <family val="2"/>
      </rPr>
      <t>Propuneri</t>
    </r>
  </si>
  <si>
    <r>
      <rPr>
        <b/>
        <sz val="10"/>
        <rFont val="Arial"/>
        <family val="2"/>
      </rPr>
      <t>7=6/5</t>
    </r>
  </si>
  <si>
    <r>
      <rPr>
        <b/>
        <sz val="10"/>
        <rFont val="Arial"/>
        <family val="2"/>
      </rPr>
      <t>1</t>
    </r>
  </si>
  <si>
    <r>
      <rPr>
        <b/>
        <sz val="10"/>
        <rFont val="Arial"/>
        <family val="2"/>
      </rPr>
      <t>7</t>
    </r>
  </si>
  <si>
    <r>
      <rPr>
        <b/>
        <sz val="10"/>
        <rFont val="Arial"/>
        <family val="2"/>
      </rPr>
      <t>Venituri din exploatare (Rd.3+Rd.S+Rd.9+ Rd. 13+Rd. 14+Rd. 15), din care:</t>
    </r>
  </si>
  <si>
    <r>
      <rPr>
        <b/>
        <sz val="10"/>
        <rFont val="Arial"/>
        <family val="2"/>
      </rPr>
      <t>din producţia vândută (Rd.4+Rd.5+Rd.6+ Rd.7), din care:</t>
    </r>
  </si>
  <si>
    <r>
      <rPr>
        <b/>
        <sz val="10"/>
        <rFont val="Arial"/>
        <family val="2"/>
      </rPr>
      <t>a1)</t>
    </r>
  </si>
  <si>
    <r>
      <rPr>
        <b/>
        <sz val="10"/>
        <rFont val="Arial"/>
        <family val="2"/>
      </rPr>
      <t>din vânzarea produselor</t>
    </r>
  </si>
  <si>
    <r>
      <rPr>
        <b/>
        <sz val="10"/>
        <rFont val="Arial"/>
        <family val="2"/>
      </rPr>
      <t>4</t>
    </r>
  </si>
  <si>
    <r>
      <rPr>
        <b/>
        <sz val="10"/>
        <rFont val="Arial"/>
        <family val="2"/>
      </rPr>
      <t>a2)</t>
    </r>
  </si>
  <si>
    <r>
      <rPr>
        <b/>
        <sz val="10"/>
        <rFont val="Arial"/>
        <family val="2"/>
      </rPr>
      <t>din servicii prestate</t>
    </r>
  </si>
  <si>
    <r>
      <rPr>
        <b/>
        <sz val="10"/>
        <rFont val="Arial"/>
        <family val="2"/>
      </rPr>
      <t>a3)</t>
    </r>
  </si>
  <si>
    <r>
      <rPr>
        <b/>
        <sz val="10"/>
        <rFont val="Arial"/>
        <family val="2"/>
      </rPr>
      <t>din redevenţe şi chirii</t>
    </r>
  </si>
  <si>
    <r>
      <rPr>
        <b/>
        <sz val="10"/>
        <rFont val="Arial"/>
        <family val="2"/>
      </rPr>
      <t>a4)</t>
    </r>
  </si>
  <si>
    <r>
      <rPr>
        <b/>
        <sz val="10"/>
        <rFont val="Arial"/>
        <family val="2"/>
      </rPr>
      <t>alte venituri</t>
    </r>
  </si>
  <si>
    <r>
      <rPr>
        <b/>
        <sz val="10"/>
        <rFont val="Arial"/>
        <family val="2"/>
      </rPr>
      <t>b)</t>
    </r>
  </si>
  <si>
    <r>
      <rPr>
        <b/>
        <sz val="10"/>
        <rFont val="Arial"/>
        <family val="2"/>
      </rPr>
      <t>din vânzarea mărfurilor</t>
    </r>
  </si>
  <si>
    <r>
      <rPr>
        <b/>
        <sz val="10"/>
        <rFont val="Arial"/>
        <family val="2"/>
      </rPr>
      <t>c)</t>
    </r>
  </si>
  <si>
    <r>
      <rPr>
        <b/>
        <sz val="10"/>
        <rFont val="Arial"/>
        <family val="2"/>
      </rPr>
      <t>c1</t>
    </r>
  </si>
  <si>
    <r>
      <rPr>
        <b/>
        <sz val="10"/>
        <rFont val="Arial"/>
        <family val="2"/>
      </rPr>
      <t>c2</t>
    </r>
  </si>
  <si>
    <r>
      <rPr>
        <b/>
        <sz val="10"/>
        <rFont val="Arial"/>
        <family val="2"/>
      </rPr>
      <t>c3</t>
    </r>
  </si>
  <si>
    <r>
      <rPr>
        <b/>
        <sz val="10"/>
        <rFont val="Arial"/>
        <family val="2"/>
      </rPr>
      <t>din producţia de imobilizări</t>
    </r>
  </si>
  <si>
    <r>
      <rPr>
        <b/>
        <sz val="10"/>
        <rFont val="Arial"/>
        <family val="2"/>
      </rPr>
      <t>venituri aferente costului producţiei în curs de execuţie</t>
    </r>
  </si>
  <si>
    <r>
      <rPr>
        <b/>
        <sz val="10"/>
        <rFont val="Arial"/>
        <family val="2"/>
      </rPr>
      <t>alte venituri din exploatare (Rd.16+Rd.17+Rd.20+Rd.21+Rd.22), din care:</t>
    </r>
  </si>
  <si>
    <r>
      <rPr>
        <b/>
        <sz val="10"/>
        <rFont val="Arial"/>
        <family val="2"/>
      </rPr>
      <t>din amenzi şi penalităţi</t>
    </r>
  </si>
  <si>
    <r>
      <rPr>
        <b/>
        <sz val="10"/>
        <rFont val="Arial"/>
        <family val="2"/>
      </rPr>
      <t>din vânzarea activelor şi alte operaţii de capital (Rd.18+Rd.19), din care:</t>
    </r>
  </si>
  <si>
    <r>
      <rPr>
        <b/>
        <sz val="10"/>
        <rFont val="Arial"/>
        <family val="2"/>
      </rPr>
      <t>-active corporale</t>
    </r>
  </si>
  <si>
    <r>
      <rPr>
        <b/>
        <sz val="10"/>
        <rFont val="Arial"/>
        <family val="2"/>
      </rPr>
      <t>- active necorporale</t>
    </r>
  </si>
  <si>
    <r>
      <rPr>
        <b/>
        <sz val="10"/>
        <rFont val="Arial"/>
        <family val="2"/>
      </rPr>
      <t>din subvenţii pentru investiţii</t>
    </r>
  </si>
  <si>
    <r>
      <rPr>
        <b/>
        <sz val="10"/>
        <rFont val="Arial"/>
        <family val="2"/>
      </rPr>
      <t>din valorificarea certificatelor C02</t>
    </r>
  </si>
  <si>
    <r>
      <rPr>
        <b/>
        <sz val="10"/>
        <rFont val="Arial"/>
        <family val="2"/>
      </rPr>
      <t>Venituri financiare (Rd.24+Rd.25+Rd.26+Rd.27+Rd.28), din care:</t>
    </r>
  </si>
  <si>
    <r>
      <rPr>
        <b/>
        <sz val="10"/>
        <rFont val="Arial"/>
        <family val="2"/>
      </rPr>
      <t>din imobilizări financiare</t>
    </r>
  </si>
  <si>
    <r>
      <rPr>
        <b/>
        <sz val="10"/>
        <rFont val="Arial"/>
        <family val="2"/>
      </rPr>
      <t>din investiţii financiare</t>
    </r>
  </si>
  <si>
    <r>
      <rPr>
        <b/>
        <sz val="10"/>
        <rFont val="Arial"/>
        <family val="2"/>
      </rPr>
      <t>din diferenţe de curs</t>
    </r>
  </si>
  <si>
    <r>
      <rPr>
        <b/>
        <sz val="10"/>
        <rFont val="Arial"/>
        <family val="2"/>
      </rPr>
      <t>din dobânzi</t>
    </r>
  </si>
  <si>
    <r>
      <rPr>
        <b/>
        <sz val="10"/>
        <rFont val="Arial"/>
        <family val="2"/>
      </rPr>
      <t>e)</t>
    </r>
  </si>
  <si>
    <r>
      <rPr>
        <b/>
        <sz val="10"/>
        <rFont val="Arial"/>
        <family val="2"/>
      </rPr>
      <t>alte venituri financiare</t>
    </r>
  </si>
  <si>
    <r>
      <rPr>
        <b/>
        <sz val="10"/>
        <rFont val="Arial"/>
        <family val="2"/>
      </rPr>
      <t>3</t>
    </r>
  </si>
  <si>
    <r>
      <rPr>
        <b/>
        <sz val="10"/>
        <rFont val="Arial"/>
        <family val="2"/>
      </rPr>
      <t>Venituri extraordinare</t>
    </r>
  </si>
  <si>
    <t>ANEXA Nr.1</t>
  </si>
  <si>
    <t>ANEXA Nr.2</t>
  </si>
  <si>
    <t>ANEXA Nr.3</t>
  </si>
  <si>
    <t>ANEXA Nr.4</t>
  </si>
  <si>
    <r>
      <rPr>
        <i/>
        <sz val="10"/>
        <rFont val="Arial"/>
        <family val="2"/>
      </rPr>
      <t>-interna</t>
    </r>
  </si>
  <si>
    <r>
      <rPr>
        <i/>
        <sz val="10"/>
        <rFont val="Arial"/>
        <family val="2"/>
      </rPr>
      <t>-externa</t>
    </r>
  </si>
  <si>
    <r>
      <rPr>
        <b/>
        <sz val="10"/>
        <rFont val="Arial"/>
        <family val="2"/>
      </rPr>
      <t>h)</t>
    </r>
  </si>
  <si>
    <r>
      <rPr>
        <b/>
        <sz val="10"/>
        <rFont val="Arial"/>
        <family val="2"/>
      </rPr>
      <t>i)</t>
    </r>
  </si>
  <si>
    <r>
      <rPr>
        <i/>
        <sz val="10"/>
        <rFont val="Arial"/>
        <family val="2"/>
      </rPr>
      <t>-aferente bunurilor de natura domeniului public</t>
    </r>
  </si>
  <si>
    <t>ANEXA Nr.5</t>
  </si>
  <si>
    <t>INDICATORI</t>
  </si>
  <si>
    <t>Data finalizării investiţiei</t>
  </si>
  <si>
    <t>Valoare</t>
  </si>
  <si>
    <t>Aprobat</t>
  </si>
  <si>
    <t>Realizat/ Preliminat</t>
  </si>
  <si>
    <t>3</t>
  </si>
  <si>
    <t>4</t>
  </si>
  <si>
    <t>6</t>
  </si>
  <si>
    <t>8</t>
  </si>
  <si>
    <t>Surse proprii, din care:</t>
  </si>
  <si>
    <t>b) - profit</t>
  </si>
  <si>
    <t>2</t>
  </si>
  <si>
    <t>Alocaţii de la buget</t>
  </si>
  <si>
    <t>Credite bancare, din care:</t>
  </si>
  <si>
    <t>a)-interne</t>
  </si>
  <si>
    <t>b) - externe</t>
  </si>
  <si>
    <t>Alte surse, din care:</t>
  </si>
  <si>
    <t>II</t>
  </si>
  <si>
    <t>Investiţii noi, din care:</t>
  </si>
  <si>
    <t>Dotări (alte achiziţii de imobilizări corporale]</t>
  </si>
  <si>
    <t>5</t>
  </si>
  <si>
    <t>b)- externe</t>
  </si>
  <si>
    <t>PROGRAMUL DE INVESTITII, DOTARI SI SURSE DE FINANTARE</t>
  </si>
  <si>
    <t>ANEXA Nr.6</t>
  </si>
  <si>
    <t>ANEXA Nr.7</t>
  </si>
  <si>
    <t>ANEXA Nr.9</t>
  </si>
  <si>
    <t>BUGETUL DE VENITURI SI CHELTUIELI   pentru anul 2013</t>
  </si>
  <si>
    <t>Programul de reducere al arieratelor cu prezentarea surselor</t>
  </si>
  <si>
    <t>BUGETUL DE VENITURI SI CHELTUIELI  pentru anul 2013</t>
  </si>
  <si>
    <t>Programul de reducere al stocurilor</t>
  </si>
  <si>
    <t>ANEXA Nr.8</t>
  </si>
  <si>
    <t>cheltuieli cu plaţi compensatorii aferente disponibilizărilor de personal</t>
  </si>
  <si>
    <t>9</t>
  </si>
  <si>
    <t>a)</t>
  </si>
  <si>
    <t>e)</t>
  </si>
  <si>
    <r>
      <rPr>
        <b/>
        <sz val="10"/>
        <rFont val="Arial"/>
        <family val="2"/>
      </rPr>
      <t>mii lei</t>
    </r>
  </si>
  <si>
    <t>0</t>
  </si>
  <si>
    <r>
      <t xml:space="preserve">subvenţii, cf. prevederilor legale în </t>
    </r>
    <r>
      <rPr>
        <b/>
        <sz val="10"/>
        <rFont val="Arial"/>
        <family val="2"/>
      </rPr>
      <t>vigoare</t>
    </r>
  </si>
  <si>
    <t>10</t>
  </si>
  <si>
    <t>transferuri, cf. prevederilor legale în vigoare</t>
  </si>
  <si>
    <t>11</t>
  </si>
  <si>
    <t>transferuri pentru plata personalului</t>
  </si>
  <si>
    <t>12</t>
  </si>
  <si>
    <t>13</t>
  </si>
  <si>
    <t>14</t>
  </si>
  <si>
    <t>f)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</si>
  <si>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</si>
  <si>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</si>
  <si>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</si>
  <si>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</si>
  <si>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</si>
  <si>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</si>
  <si>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</si>
  <si>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</si>
  <si>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</si>
  <si>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</si>
  <si>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</si>
  <si>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</si>
  <si>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</si>
  <si>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</si>
  <si>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</si>
  <si>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</si>
  <si>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59</t>
  </si>
  <si>
    <t>60</t>
  </si>
  <si>
    <t>61</t>
  </si>
  <si>
    <t>62</t>
  </si>
  <si>
    <t>63</t>
  </si>
  <si>
    <r>
      <rPr>
        <b/>
        <i/>
        <sz val="10"/>
        <rFont val="Arial"/>
        <family val="2"/>
      </rPr>
      <t>f)</t>
    </r>
  </si>
  <si>
    <t>64</t>
  </si>
  <si>
    <t>65</t>
  </si>
  <si>
    <t>66</t>
  </si>
  <si>
    <t>67</t>
  </si>
  <si>
    <t>g)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</si>
  <si>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</si>
  <si>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</si>
  <si>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</si>
  <si>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</si>
  <si>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</si>
  <si>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</si>
  <si>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</si>
  <si>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</si>
  <si>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</si>
  <si>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</si>
  <si>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</si>
  <si>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j)</t>
  </si>
  <si>
    <t>79</t>
  </si>
  <si>
    <t>80</t>
  </si>
  <si>
    <t>ch. ou taxa pt.activitatea de exploatare a resurselor minerale</t>
  </si>
  <si>
    <t>81</t>
  </si>
  <si>
    <t>b)</t>
  </si>
  <si>
    <t>ch. cu redevenţa pentru concesionarea bunurilor publice şi resursele minerale</t>
  </si>
  <si>
    <t>82</t>
  </si>
  <si>
    <t>c)</t>
  </si>
  <si>
    <t>ch. cu taxa de licenţă</t>
  </si>
  <si>
    <t>83</t>
  </si>
  <si>
    <t>d)</t>
  </si>
  <si>
    <t>ch. cu taxa de autorizare</t>
  </si>
  <si>
    <t>84</t>
  </si>
  <si>
    <t>ch. cu taxa de mediu</t>
  </si>
  <si>
    <t>85</t>
  </si>
  <si>
    <t>cheltuieli cu alte taxe şi impozite</t>
  </si>
  <si>
    <t>86</t>
  </si>
  <si>
    <t>87</t>
  </si>
  <si>
    <t>C1</t>
  </si>
  <si>
    <r>
      <rPr>
        <b/>
        <sz val="10"/>
        <rFont val="Arial"/>
        <family val="2"/>
      </rPr>
      <t>Cheltuieli cu salariile (Rd.89+Rd.90+Rd.91), din care:</t>
    </r>
  </si>
  <si>
    <t>88</t>
  </si>
  <si>
    <r>
      <rPr>
        <b/>
        <sz val="10"/>
        <rFont val="Arial"/>
        <family val="2"/>
      </rPr>
      <t>a) salarii de bază</t>
    </r>
  </si>
  <si>
    <t>89</t>
  </si>
  <si>
    <t>BUGETUL DE VENITURI SI CHELTUIELI  PENTRU ANUL 2013</t>
  </si>
  <si>
    <t>Situatia datoriilor rezultate din imprumuturile contractate</t>
  </si>
  <si>
    <t>Masuri de imbunatatire a rezultatului brut si reducere a arieratelor</t>
  </si>
  <si>
    <t>6 = 5/4</t>
  </si>
  <si>
    <t>9=7/5</t>
  </si>
  <si>
    <t>10=8/7</t>
  </si>
  <si>
    <t>f1)</t>
  </si>
  <si>
    <t>f2)</t>
  </si>
  <si>
    <t>f3)</t>
  </si>
  <si>
    <t>f4)</t>
  </si>
  <si>
    <t>f5)</t>
  </si>
  <si>
    <t>Propuneri an curent (2013)</t>
  </si>
  <si>
    <t>Prevederi an precedent                                ( 2012 )</t>
  </si>
  <si>
    <t>i1)</t>
  </si>
  <si>
    <t>i2)</t>
  </si>
  <si>
    <t>i3)</t>
  </si>
  <si>
    <t>i4)</t>
  </si>
  <si>
    <t>i5)</t>
  </si>
  <si>
    <t>i6)</t>
  </si>
  <si>
    <t>i7)</t>
  </si>
  <si>
    <t>C4</t>
  </si>
  <si>
    <t>Bonusuri (Rd.93+Rd.96+Rd.97+Rd.98+ Rd.99), din care;</t>
  </si>
  <si>
    <t>f2.1)</t>
  </si>
  <si>
    <t>a2)</t>
  </si>
  <si>
    <t>Productivitatea muncii ajustat 2 (lei/persoană) (Rd.2-Rd.17- Rd.20)/Rd.145</t>
  </si>
  <si>
    <t xml:space="preserve">Realizat/ Preliminat an precedent     (2012) </t>
  </si>
  <si>
    <t>Propuneri an curent               (2013)</t>
  </si>
  <si>
    <t>Estimări an              2015</t>
  </si>
  <si>
    <t>Estimări            an                   2014</t>
  </si>
  <si>
    <t>C2</t>
  </si>
  <si>
    <t>C5</t>
  </si>
  <si>
    <t>cheltuieli cu asigurările si protectla socială, fondurile speciale şi alte obligaţii legale</t>
  </si>
  <si>
    <t>CH E LTUIELI TOTALE (Rd.5= Rd.6+Rd .17+Rd .18)</t>
  </si>
  <si>
    <t>PROFITUL CONTABIL RAMAS DUPA DEDUCEREA IMPOZITULUI PE PROFIT, din care:</t>
  </si>
  <si>
    <t>Sold la 31.12.an precedent (2012)</t>
  </si>
  <si>
    <t>Intrări 01.01-31.12.an curent (2013)</t>
  </si>
  <si>
    <t>Ieşiri 01.01-31.12.an curent (2013)</t>
  </si>
  <si>
    <t>Sold la 31.12.an curent (2013)</t>
  </si>
  <si>
    <t>Prevederi an 2011</t>
  </si>
  <si>
    <t>Prevederi an precedent 2012</t>
  </si>
  <si>
    <t>1a)</t>
  </si>
  <si>
    <t>4=5+6+7</t>
  </si>
  <si>
    <t>Sold final an curent (N)</t>
  </si>
  <si>
    <t>bonusuri</t>
  </si>
  <si>
    <t>CHELTUIELI TOTALE (Rd.31+Rd.131+Rd.139)</t>
  </si>
  <si>
    <t>b) tichete de masă;</t>
  </si>
  <si>
    <t>Cheltuieli aferente contractului de mandat si a altor organe de conducere si control, comisii si comitete   (Rd.105+rd.106+Rd.107+Rd.108)</t>
  </si>
  <si>
    <t>b1)</t>
  </si>
  <si>
    <t xml:space="preserve">rd.46 col.4si5 anexa 1 </t>
  </si>
  <si>
    <t>=</t>
  </si>
  <si>
    <t>rd.88 col.5 si 6 anexa 2</t>
  </si>
  <si>
    <t>rd.47 col.4si5 anexa1</t>
  </si>
  <si>
    <t>rd.92 col.5si6 anexa2</t>
  </si>
  <si>
    <t>rd.2 col 6 si 7 anexa 3</t>
  </si>
  <si>
    <t>rd 3 col. 4 si 5 anexa 2</t>
  </si>
  <si>
    <t>rd. 3 col.6 si 7 anexa3</t>
  </si>
  <si>
    <t>rd.8 col. 4 si 5 anexa 2</t>
  </si>
  <si>
    <t>rd. 4 col.6 si 7 anexa3</t>
  </si>
  <si>
    <t>rd. 5 col.6 si 7 anexa3</t>
  </si>
  <si>
    <t>rd.13 col. 4 si 5 anexa 2</t>
  </si>
  <si>
    <t>rd.15 col. 4 si 5 anexa 2</t>
  </si>
  <si>
    <t>corelatii anexa 1</t>
  </si>
  <si>
    <t>corelatii anexa 3</t>
  </si>
  <si>
    <t>COL. 3 ANEXA 7</t>
  </si>
  <si>
    <t>RD.54 COL.4 ANEXA1</t>
  </si>
  <si>
    <t>RD.54 COL.5 ANEXA1</t>
  </si>
  <si>
    <t>COL. 8 ANEXA7</t>
  </si>
  <si>
    <t>COL. 10 ANEXA7</t>
  </si>
  <si>
    <t>RD.54 COL.7 ANEXA1</t>
  </si>
  <si>
    <t>RD.54 COL.8 ANEXA1</t>
  </si>
  <si>
    <t>CORELATII ANEXA 7</t>
  </si>
  <si>
    <t>b2)</t>
  </si>
  <si>
    <t>a1) LEI</t>
  </si>
  <si>
    <t>a2) EURO</t>
  </si>
  <si>
    <t>Total B  LEI</t>
  </si>
  <si>
    <t>Total B VALUTA</t>
  </si>
  <si>
    <t>Total A LEI</t>
  </si>
  <si>
    <t>Total A VALUTA</t>
  </si>
  <si>
    <t>Total General A+B LEI</t>
  </si>
  <si>
    <t>Total General A+B   VALUTA</t>
  </si>
  <si>
    <t>b1) LEI</t>
  </si>
  <si>
    <t>b2) EURO</t>
  </si>
  <si>
    <t>Câştigul mediu lunar pe salariat (lei/persoană) determinat pe baza fondului de salarii aferent personalului angajat pe baza de contract individual de munca (Rd.46/Rd.44)/12*1000</t>
  </si>
  <si>
    <t>Productivitatea muncii în unităţi fizice pe total personal mediu (unităţi fizice/ persoana)</t>
  </si>
  <si>
    <t>Nr. rd.</t>
  </si>
  <si>
    <t>%</t>
  </si>
  <si>
    <t>1.</t>
  </si>
  <si>
    <t>VENITURI TOTALE (Rd.1=Rd.2+Rd.3+Rd.4)</t>
  </si>
  <si>
    <t>Venituri din exploatare</t>
  </si>
  <si>
    <t>Venituri financiare</t>
  </si>
  <si>
    <t>Venituri extraordinare</t>
  </si>
  <si>
    <t>Cheltuieli de exploatare,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</si>
  <si>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</si>
  <si>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</si>
  <si>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</si>
  <si>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</si>
  <si>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</si>
  <si>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din care:</t>
  </si>
  <si>
    <t>ch. cu salariile</t>
  </si>
  <si>
    <t>C3</t>
  </si>
  <si>
    <t>alte cheltuieli cu personalul, din care:</t>
  </si>
  <si>
    <t>cheltuieli aferente contractului de mandat</t>
  </si>
  <si>
    <t>D.</t>
  </si>
  <si>
    <t>alte cheltuieli de exploatare</t>
  </si>
  <si>
    <t>Cheltuieli financiare</t>
  </si>
  <si>
    <t>Cheltuieli extraordinare</t>
  </si>
  <si>
    <t>III</t>
  </si>
  <si>
    <t>REZULTATUL BRUT (profit/pierdere)</t>
  </si>
  <si>
    <t>IV</t>
  </si>
  <si>
    <t>IMPOZIT PE PROFIT</t>
  </si>
  <si>
    <t>V</t>
  </si>
  <si>
    <t>Rezerve legale</t>
  </si>
  <si>
    <t>Alte rezerve reprezentând facilitaţi fiscale prevăzute de lege</t>
  </si>
  <si>
    <t>Acoperirea pierderilor contabile din anii precedenţi</t>
  </si>
  <si>
    <t>Alte repartizări prevăzute de lege</t>
  </si>
  <si>
    <t>Profitul contabil rămas după deducerea sumelor de la Rd. 22. 23, 24, 25 şi 26.</t>
  </si>
  <si>
    <t>Participarea salariaţilor la profit in limita a 10% din profitul net, dar nu mal mult de nivelul unul salariu de bază mediu lunar realizat la nivelul operatorului economic în exerciţiul financiar de referinţă</t>
  </si>
  <si>
    <t>Minimum 50% vârsăminte la bugetul de stat sau local in cazul regiilor autonome, ori dividende cuvenite acţionarilor, în cazul societăţilor/ companiilor naflonale şi societăţilor cu capital integral sau majoritar de stat, din care:</t>
  </si>
  <si>
    <t>- dividende cuvenite bugetului de stat sau local, dupa caz</t>
  </si>
  <si>
    <t>Profitul nerepartizat pe destinaţiile prevăzute la Rd.22 -Rri.29 se repartizează la alte rezerve ţi constituie sursă proprie de finanţare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</si>
  <si>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</si>
  <si>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</si>
  <si>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</si>
  <si>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</si>
  <si>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</si>
  <si>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</si>
  <si>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prestările de servicii</t>
  </si>
  <si>
    <t>cheltuieli cu reclama si publicitate</t>
  </si>
  <si>
    <t>alte cheltuieli</t>
  </si>
  <si>
    <t>VIII</t>
  </si>
  <si>
    <t>SURSE DE FINANŢARE A INVESTIŢIILOR, din care:</t>
  </si>
  <si>
    <t>IX</t>
  </si>
  <si>
    <t>CHELTUIELI PENTRU INVESTIŢII</t>
  </si>
  <si>
    <t>X</t>
  </si>
  <si>
    <t>DATE DE FUNDAMENTARE</t>
  </si>
  <si>
    <t>Nr.mediu de salariaţi total</t>
  </si>
  <si>
    <t>Cheltuieli de natura salariala (a+b),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</si>
  <si>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</si>
  <si>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</si>
  <si>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</si>
  <si>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</si>
  <si>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terţi (Rd.4S+Rd.49+Rd.51+Rd.58+Rd.63+Rd.64+Rd.6B+ Rd.69+Rd.70+Rd.79), din care:</t>
  </si>
  <si>
    <t>cheltuieli cu colaboratorii</t>
  </si>
  <si>
    <t>cheltuieli privind comisioanele şi onorariul, din care:</t>
  </si>
  <si>
    <t>cheltuieli de protocol, reclamă şi publicitate (Rd.52+Rd.54), din care:</t>
  </si>
  <si>
    <t>cheltuieli de protocol, din care:</t>
  </si>
  <si>
    <t>- tichete cadou potrivit Legii nr. 193/2006, cu modificările ulterioare</t>
  </si>
  <si>
    <t>c2)</t>
  </si>
  <si>
    <t>cheltuieli de reclamă şi publicitate, din care:</t>
  </si>
  <si>
    <t>- tichete cadou ptr. cheltuieli de reclamă şi publicitate, potrivit Legii nr.193/2006, cu modificările ulterioare</t>
  </si>
  <si>
    <t>- tichete cadou ptr. campanii de marketing, studiul pieţei, promovarea pe pieţe existente sau noi, potrivit Legii nr. 193/2006, cu modificările ulterioare</t>
  </si>
  <si>
    <t>- ch.de promovare a produselor</t>
  </si>
  <si>
    <t>Ch. cu sponsorizarea (Rd.59+Rd.60+Rd.61+Rd.62), din care:</t>
  </si>
  <si>
    <t>d1)</t>
  </si>
  <si>
    <t>d2)</t>
  </si>
  <si>
    <t>d3)</t>
  </si>
  <si>
    <t>d4)</t>
  </si>
  <si>
    <t>cheltuieli cu transportul de bunuri şi persoane</t>
  </si>
  <si>
    <t>cheltuieli de deplasare, detaşare, transfer, din care:</t>
  </si>
  <si>
    <t>- cheltuieli cu diurna (Rd.66+Rd.67), din care: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</si>
  <si>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</si>
  <si>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</si>
  <si>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</si>
  <si>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</si>
  <si>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</si>
  <si>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cheltuieli de asigurare şi pază</t>
  </si>
  <si>
    <t>cheltuieli cu pregătirea profesională</t>
  </si>
  <si>
    <t>cheltuieli cu reevaluarea imobilizărilor corporale şi necorporale, din care:</t>
  </si>
  <si>
    <t>cheltuieli cu prestaţiile efectuate de filiale</t>
  </si>
  <si>
    <t>cheltuieli privind recrutarea şi plasarea personalului de conducere conform Ordonanţei de urgenţa a Guvernului nr. 109/2011</t>
  </si>
  <si>
    <t>cheltuieli cu anunţurile privind licitaţiile şi alte anunţuri</t>
  </si>
  <si>
    <t>a) cheltuieli sociale prevăzute la art. 21 din Legea nr. 571/2003 privind Codul fiscal, cu modificările şi completările ulterioare, din care: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</si>
  <si>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</si>
  <si>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</si>
  <si>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</si>
  <si>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</si>
  <si>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</si>
  <si>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</si>
  <si>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</si>
  <si>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</si>
  <si>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</si>
  <si>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</si>
  <si>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</si>
  <si>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</si>
  <si>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</si>
  <si>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</si>
  <si>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</si>
  <si>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B.   Cheltuieli cu impozite, taxe şi vărsăminte asimilate(R81+Rd.82+Rd.83+Rd.84+ Rd.85+Rd.86), din care:</t>
  </si>
  <si>
    <t>ch. cu taxa pt.activitatea de exploatare a resurselor minerale</t>
  </si>
  <si>
    <t>C.  Cheltuieli cu personalul ( Rd.88+ Rd.92+Rd.100+Rd. 104+Rd. 109)</t>
  </si>
  <si>
    <t>Cheltuieli cu salariile (Rd.89+Rd.90+Rd.91), din care:</t>
  </si>
  <si>
    <t>a) salarii de baza</t>
  </si>
  <si>
    <t>b) sporuri, prime şi alte bonificaţii aferente salariului de bază (conform CCM)</t>
  </si>
  <si>
    <t>90</t>
  </si>
  <si>
    <t>c) alte bonificaţii (conform CCM)</t>
  </si>
  <si>
    <t>91</t>
  </si>
  <si>
    <t>92</t>
  </si>
  <si>
    <t>93</t>
  </si>
  <si>
    <t>- tichete de creşă, cf. Legii nr. 193/2006, cu modificările ulterioare;</t>
  </si>
  <si>
    <t>94</t>
  </si>
  <si>
    <t>- tichete cadou pentru cheltuieli sociale potrivit Legii nr. 193/2006, cu modificările ulterioare;</t>
  </si>
  <si>
    <t>95</t>
  </si>
  <si>
    <t>96</t>
  </si>
  <si>
    <t>c) tichete de vacanţa;</t>
  </si>
  <si>
    <t>97</t>
  </si>
  <si>
    <t>98</t>
  </si>
  <si>
    <t>e) alte cheltuieli conform CCM.</t>
  </si>
  <si>
    <t>99</t>
  </si>
  <si>
    <t>Alte cheltuieli cu personalul (Rd.101+Rd.102+Rd.103), din care:</t>
  </si>
  <si>
    <t>100</t>
  </si>
  <si>
    <t>a) ch. cu plăţile compensatorii aferente disponibilizărilor de personal</t>
  </si>
  <si>
    <t>101</t>
  </si>
  <si>
    <t>b) ch. cu drepturile salariale cuvenite în baza unor hotărâri judecătoreşti</t>
  </si>
  <si>
    <t>102</t>
  </si>
  <si>
    <t>c) cheltuieli de natură salarială aferente restructurării, privatizării, administrator special, alte comisii si comitete</t>
  </si>
  <si>
    <t>103</t>
  </si>
  <si>
    <t>104</t>
  </si>
  <si>
    <t>105</t>
  </si>
  <si>
    <t>b) pentru consiliul de administraţie/consiliul de supraveghere</t>
  </si>
  <si>
    <t>106</t>
  </si>
  <si>
    <t>c) pentru AGA şi cenzori</t>
  </si>
  <si>
    <t>107</t>
  </si>
  <si>
    <t>d) pentru alte comisii şi comitete constituite potrivit legii</t>
  </si>
  <si>
    <t>108</t>
  </si>
  <si>
    <t>Cheltuieli cu asigurările şi protecţia socială, fondurile speciale şi alte obligaţii legale(Rd.110+Rd.111+Rd.112+Rd.113+ Rd.114+Rd.115), din care:</t>
  </si>
  <si>
    <t>109</t>
  </si>
  <si>
    <t>a) ch. privind contribuţia la asigurări sociale</t>
  </si>
  <si>
    <t>110</t>
  </si>
  <si>
    <t>b) ch. privind contribuţia la asigurări pt.somaj</t>
  </si>
  <si>
    <t>111</t>
  </si>
  <si>
    <t>c) ch. privind contribuţia la asigurări sociale de sănătate</t>
  </si>
  <si>
    <t>112</t>
  </si>
  <si>
    <t>d) ch. privind contribuţiile la fondurile speciale aferente fondului de salarii</t>
  </si>
  <si>
    <t>113</t>
  </si>
  <si>
    <t>e) ch. privind contribuţiia unităţii la schemele de pensii</t>
  </si>
  <si>
    <t>114</t>
  </si>
  <si>
    <t>1) cheltuieli privind alte contribuţii si fonduri speciale</t>
  </si>
  <si>
    <t>115</t>
  </si>
  <si>
    <t>D.  Alte cheltuieli de exploatare   (Rd.117+Rd.120+Rd.121+Rd.122+Rd.123+Rd. 124), din care:</t>
  </si>
  <si>
    <t>116</t>
  </si>
  <si>
    <t>cheltuieli cu majorări şi penalităţi (Rd.118+Rd.119), din care:</t>
  </si>
  <si>
    <t>117</t>
  </si>
  <si>
    <t>- către bugetul general consolidat</t>
  </si>
  <si>
    <t>118</t>
  </si>
  <si>
    <t>-cătrealţi creditori</t>
  </si>
  <si>
    <t>119</t>
  </si>
  <si>
    <t>cheltuieli privind activele imobilizate</t>
  </si>
  <si>
    <t>120</t>
  </si>
  <si>
    <r>
      <rPr>
        <i/>
        <sz val="10"/>
        <rFont val="Arial"/>
        <family val="2"/>
      </rPr>
      <t>alte cheltuieli cu sponsorizarea</t>
    </r>
  </si>
  <si>
    <t>I</t>
  </si>
  <si>
    <t>COL. 12 ANEXA7</t>
  </si>
  <si>
    <t>TOT. GEN. COL.3+ TOT.PCT1 COL 5 ANEXA 9</t>
  </si>
  <si>
    <t>RD.19 COL.5 ANEXA 1</t>
  </si>
  <si>
    <t>TOT. GEN. COL.4+ TOT.PCT1 COL 6 ANEXA 9</t>
  </si>
  <si>
    <t>RD.54 COL.5 ANEXA 1</t>
  </si>
  <si>
    <t>TOT. GEN. COL.3+ TOT.GEN. COL 5 ANEXA 9</t>
  </si>
  <si>
    <t>CORELATII ANEXA 9</t>
  </si>
  <si>
    <t>TOT. GEN. COL.4+ TOT.GEN. COL 6 ANEXA 10</t>
  </si>
  <si>
    <t>ANEXA 5</t>
  </si>
  <si>
    <t>ANEXA 8</t>
  </si>
  <si>
    <t>CORELATII</t>
  </si>
  <si>
    <t>cheltuieli cu materiile prime (601)</t>
  </si>
  <si>
    <t>FONDUL DE SALARII</t>
  </si>
  <si>
    <t>cheltuieli cu transportul de bunuri si persoane</t>
  </si>
  <si>
    <t>cheltuieli privind întreţinerea şi funcţionarea tehnicii de calcul</t>
  </si>
  <si>
    <t>cheltuieli privind recrutarea şl plasarea personalului de conducere cf. Ordonanţei de urgenţă a Guvernului nr. 109/2011</t>
  </si>
  <si>
    <r>
      <rPr>
        <i/>
        <sz val="10"/>
        <rFont val="Arial"/>
        <family val="2"/>
      </rPr>
      <t>ch, de sponsorizare a unităţilor de cult</t>
    </r>
  </si>
  <si>
    <r>
      <rPr>
        <i/>
        <sz val="10"/>
        <rFont val="Arial"/>
        <family val="2"/>
      </rPr>
      <t>ch. privind acordarea ajutoarelor umanitare si</t>
    </r>
    <r>
      <rPr>
        <sz val="10"/>
        <rFont val="Arial"/>
        <family val="2"/>
      </rPr>
      <t xml:space="preserve"> soc/a/e</t>
    </r>
  </si>
  <si>
    <t>C. Cheltuieli cu personalul (Rd.88+Rd.92+Rd. 100+ Rd.104+Rd .109)</t>
  </si>
  <si>
    <t>VENITURI TOTALE (Rd.2+Rd.23+Rd.29)</t>
  </si>
  <si>
    <t>Productivitatea muncii în unităţi valorice pe total personal mediu in preţuri comparabile &lt; lei/persoană) (Rd.1/Rd.44*ICP)</t>
  </si>
  <si>
    <t>CREDIT 2  VALUTA   (POS)</t>
  </si>
  <si>
    <t>ch.de sponsorizare a cluburilor sportive</t>
  </si>
  <si>
    <t>Nr.crt.</t>
  </si>
  <si>
    <t>Valoarea creditului conform contractului</t>
  </si>
  <si>
    <t>Perioada de rambursare în ani</t>
  </si>
  <si>
    <t>Sold sf. an precedent (N-1)</t>
  </si>
  <si>
    <t>Valoarea anuală scadentă în anul curent (N)</t>
  </si>
  <si>
    <t>Valoarea anuală scadentă în anul N+1</t>
  </si>
  <si>
    <t>TOTAL din care:</t>
  </si>
  <si>
    <t>rate</t>
  </si>
  <si>
    <t>dobânzi</t>
  </si>
  <si>
    <t>diferenţe de curs nefavorabile</t>
  </si>
  <si>
    <t>comisioane</t>
  </si>
  <si>
    <t>diferente de curs nefavorabile</t>
  </si>
  <si>
    <t>A .Credite pentru activitatea curentă</t>
  </si>
  <si>
    <t>a1)</t>
  </si>
  <si>
    <t>B. Credite pentru investiţii</t>
  </si>
  <si>
    <t>comis.</t>
  </si>
  <si>
    <t>Nr. crt.</t>
  </si>
  <si>
    <t>Măsuri</t>
  </si>
  <si>
    <t>Termen de realizare</t>
  </si>
  <si>
    <t>Preliminat / Realizat</t>
  </si>
  <si>
    <t>Influenţe (+/-)</t>
  </si>
  <si>
    <t>Rezultat brut (+/-)</t>
  </si>
  <si>
    <t>Arierate</t>
  </si>
  <si>
    <t>Rezultat brut</t>
  </si>
  <si>
    <t>s</t>
  </si>
  <si>
    <t>Măsuri de îmbunătăţire a rezultatului brut şi reducere a arieratelor</t>
  </si>
  <si>
    <t>TOTAL Pct. I</t>
  </si>
  <si>
    <t>Pct. II</t>
  </si>
  <si>
    <t>Cauze care diminuează efectul măsurilor prevăzute la Pct. I</t>
  </si>
  <si>
    <t>Cauza 2.........................</t>
  </si>
  <si>
    <t>Alte cauze</t>
  </si>
  <si>
    <t>TOTAL Pct. II</t>
  </si>
  <si>
    <t>Pct. II!</t>
  </si>
  <si>
    <t>TOTAL GENERAL Pct. I + Pct. II</t>
  </si>
  <si>
    <r>
      <rPr>
        <i/>
        <sz val="10"/>
        <rFont val="Arial"/>
        <family val="2"/>
      </rPr>
      <t>7</t>
    </r>
  </si>
  <si>
    <t>an precedent 2012</t>
  </si>
  <si>
    <t>an curent 2013</t>
  </si>
  <si>
    <t>Cheltuieli totale la 1000 lei venituri totale (Rd5/Rd.1)x1000</t>
  </si>
  <si>
    <t>Plăti restante, în preturi curente</t>
  </si>
  <si>
    <t>Creanţe restante, în preţuri curente</t>
  </si>
  <si>
    <r>
      <rPr>
        <b/>
        <sz val="10"/>
        <rFont val="Arial"/>
        <family val="2"/>
      </rPr>
      <t>din subvenţii şi transferuri de exploatare aferente cifrei de afaceri nete (Rd.10+Rd. 11+Rd. 1</t>
    </r>
    <r>
      <rPr>
        <i/>
        <sz val="10"/>
        <rFont val="Arial"/>
        <family val="2"/>
      </rPr>
      <t>2),</t>
    </r>
    <r>
      <rPr>
        <b/>
        <sz val="10"/>
        <rFont val="Arial"/>
        <family val="2"/>
      </rPr>
      <t xml:space="preserve"> din care:</t>
    </r>
  </si>
  <si>
    <t>ci)</t>
  </si>
  <si>
    <t>Cheltuieli de exploatare (Rd.32+Rd.80+ Rd.87+Rd.116), din care:</t>
  </si>
  <si>
    <t>31</t>
  </si>
  <si>
    <t>A. Cheltuieli cu bunuri şi servicii (Rd.33+Rd.41+Rd.47), din care;</t>
  </si>
  <si>
    <t>32</t>
  </si>
  <si>
    <t>A1</t>
  </si>
  <si>
    <r>
      <t>Cheltuieli privind stocurile (Rd.34+Rd.35+Rd.38+Rd.39+Rd.40)</t>
    </r>
    <r>
      <rPr>
        <b/>
        <vertAlign val="subscript"/>
        <sz val="10"/>
        <rFont val="Arial"/>
        <family val="2"/>
      </rPr>
      <t>f</t>
    </r>
    <r>
      <rPr>
        <b/>
        <sz val="10"/>
        <rFont val="Arial"/>
        <family val="2"/>
      </rPr>
      <t xml:space="preserve"> din care:</t>
    </r>
  </si>
  <si>
    <t>33</t>
  </si>
  <si>
    <t>cheltuieli cu materiile prime</t>
  </si>
  <si>
    <t>34</t>
  </si>
  <si>
    <t>cheltuieli cu materialele consumabile, din care:</t>
  </si>
  <si>
    <t>35</t>
  </si>
  <si>
    <t>cheltuieli cu piesele de schimb</t>
  </si>
  <si>
    <t>36</t>
  </si>
  <si>
    <t>cheltuieli cu combustibilii</t>
  </si>
  <si>
    <t>37</t>
  </si>
  <si>
    <t>cheltuieli privind materialele de natura obiectelor de Inventar</t>
  </si>
  <si>
    <t>38</t>
  </si>
  <si>
    <t>cheltuieli privind energia şi apa</t>
  </si>
  <si>
    <t>39</t>
  </si>
  <si>
    <t>cheltuieli privind mărfurile</t>
  </si>
  <si>
    <t>40</t>
  </si>
  <si>
    <t>A2</t>
  </si>
  <si>
    <t>Cheltuieli privind serviciile executate de terţi (Rd.42+Rd.43+Rd.46), din care:</t>
  </si>
  <si>
    <t>41</t>
  </si>
  <si>
    <t>cheltuieli cu întreţinerea şi reparaţiile</t>
  </si>
  <si>
    <t>42</t>
  </si>
  <si>
    <t>cheltuieli privind chiriile (Rd.44+Rd.45) din care:</t>
  </si>
  <si>
    <t>43</t>
  </si>
  <si>
    <t>bl)</t>
  </si>
  <si>
    <t>Cheltuieli cu alte servicii executate de terţi (Rd.48+Rd.49+Rd.51+Rd.58+Rd.63+Rd.64+ Rd.68+Rd.69+Rd.70+ Rd.79), din care:</t>
  </si>
  <si>
    <t>cheltuieli privind consultanţa juridica</t>
  </si>
  <si>
    <t>c1)</t>
  </si>
  <si>
    <t>- tichete cadou ptr. cheltuieli de reclamă şi publicitate, potrivit Legii nr. 193/2006, cu modificările ulterioare</t>
  </si>
  <si>
    <t>-tichete cadou pentru cheltuieli sociale potrivit Legii nr. 193/2006, cu modificările ulterioare;</t>
  </si>
  <si>
    <t>c) tichete de vacanţă;</t>
  </si>
  <si>
    <t>Cheltuieli aferente contractului de mandat si a altor organe de conducere si control, comisii si comitete (Rd. 105+Rd.106+Rd. 107+ Rd.108), din care:</t>
  </si>
  <si>
    <t>a) pentru directori/directorat</t>
  </si>
  <si>
    <t>Cheltuieli cu asigurările şi protecţia socială, fondurile speciale şi alte obligaţii legale(Rd. 110+Rd.111 +Rd .112+ Rd.113+ Rd.114+Rd.115), din care:</t>
  </si>
  <si>
    <t>b) ch. privind contribuţia la asigurări pt. şomaj</t>
  </si>
  <si>
    <t>f) cheltuieli privind alte contribuţii si fonduri speciale</t>
  </si>
  <si>
    <t>D. Ate cheltuieli de exploatare                                                                                         (Rd.117+Rd. 120+ Rd.121+Rd.122+Rd. 123+Rd. 124), din care:</t>
  </si>
  <si>
    <t>cheltuieli cu majorări şl penalităţi (Rd.118+Rd.119), din care:</t>
  </si>
  <si>
    <t xml:space="preserve">      - către bugetul general consolidat</t>
  </si>
  <si>
    <t>- către alţi creditori</t>
  </si>
  <si>
    <t>cheltuieli aferente transferurilor pentru plata personalului</t>
  </si>
  <si>
    <t>121</t>
  </si>
  <si>
    <t>122</t>
  </si>
  <si>
    <t>ch. cu amortizarea imobilizărilor corporale şi necorporale</t>
  </si>
  <si>
    <t>123</t>
  </si>
  <si>
    <t>ajustări şi deprecieri pentru pierdere de valoare şi provizioane (Rd.125-Rd. 126), din care:</t>
  </si>
  <si>
    <t>124</t>
  </si>
  <si>
    <t>cheltuieli privind ajustările şi provizioanele</t>
  </si>
  <si>
    <t>125</t>
  </si>
  <si>
    <t>venituri din provizioane şi ajustări pentru depreciere sau pierderi de valoare, din care:</t>
  </si>
  <si>
    <t>126</t>
  </si>
  <si>
    <t>din anularea provizioanelor (Rd. 128+Rd. 129+Rd.130), din care:</t>
  </si>
  <si>
    <t>127</t>
  </si>
  <si>
    <t>-din participarea salariaţilor la profit</t>
  </si>
  <si>
    <t>128</t>
  </si>
  <si>
    <t>-din deprecierea Imobilizărilor corporale şi a activelor circulante</t>
  </si>
  <si>
    <t>129</t>
  </si>
  <si>
    <t>-venituri din alte provizioane</t>
  </si>
  <si>
    <t>130</t>
  </si>
  <si>
    <t>Cheltuieli financiare (Rd. 132+Rd.135+Rd. 138), din care:</t>
  </si>
  <si>
    <t>131</t>
  </si>
  <si>
    <t>cheltuieli privind dobânzile (Rd.133+Rd.134), din care:</t>
  </si>
  <si>
    <t>132</t>
  </si>
  <si>
    <t>aferente creditelor pentru investiţii</t>
  </si>
  <si>
    <t>133</t>
  </si>
  <si>
    <t>aferente creditelor pentru activitatea curentă</t>
  </si>
  <si>
    <t>134</t>
  </si>
  <si>
    <t>Cheltuieli  din diferenţe de curs valutar                                                           (Rd.136+Rd.137), din care:</t>
  </si>
  <si>
    <t>135</t>
  </si>
  <si>
    <t>136</t>
  </si>
  <si>
    <t>137</t>
  </si>
  <si>
    <t>alte cheltuieli financiare</t>
  </si>
  <si>
    <t>138</t>
  </si>
  <si>
    <t>139</t>
  </si>
  <si>
    <t>REZULTATUL BRUT (profit/pierdere) (Rd.1-Rd.30)</t>
  </si>
  <si>
    <t>140</t>
  </si>
  <si>
    <t>cheltuieli nedeductibile fiscal</t>
  </si>
  <si>
    <t>141</t>
  </si>
  <si>
    <t>142</t>
  </si>
  <si>
    <t>143</t>
  </si>
  <si>
    <t>Nr. de personal prognozat la finele anului</t>
  </si>
  <si>
    <t>144</t>
  </si>
  <si>
    <t>Nr.mediu de salariaţi</t>
  </si>
  <si>
    <t>145</t>
  </si>
  <si>
    <t>146</t>
  </si>
  <si>
    <t>147</t>
  </si>
  <si>
    <t>148</t>
  </si>
  <si>
    <t>Productivitatea muncii în unităţi valorice pe total personal mediu în preţuri curente (leiypersoană)(Rd.1/Rd.145)</t>
  </si>
  <si>
    <t>149</t>
  </si>
  <si>
    <t>Productivitatea muncii In unităţi valorice pe total personal mediu în preţuri comparabile (lei/persoană)(Rd.149 x ICP)</t>
  </si>
  <si>
    <t>150</t>
  </si>
  <si>
    <t>Productivitatea muncii ajustata 1 (lei/persoană) (Rd.1-Rd.17-Rd. 20)/Rd.145</t>
  </si>
  <si>
    <t>151</t>
  </si>
  <si>
    <t>152</t>
  </si>
  <si>
    <t>Productivitatea muncii în unităţi fizice pe total personal mediu (unităţi fizice/persoana) W=NUF/Rd.145</t>
  </si>
  <si>
    <t>153</t>
  </si>
  <si>
    <t>el)</t>
  </si>
  <si>
    <t>Elemente de calcul a productivitatll muncii in unitati fizice, din care</t>
  </si>
  <si>
    <t>154</t>
  </si>
  <si>
    <t>- număr unitati fizice NUF</t>
  </si>
  <si>
    <t>155</t>
  </si>
  <si>
    <t>- pret/tarif/UF</t>
  </si>
  <si>
    <t>156</t>
  </si>
  <si>
    <t>-valoare=UFxT/P</t>
  </si>
  <si>
    <t>157</t>
  </si>
  <si>
    <t>- pondere in venituri totale= Rd.157/Rd.1</t>
  </si>
  <si>
    <t>158</t>
  </si>
  <si>
    <t>Nr.</t>
  </si>
  <si>
    <t>crt.</t>
  </si>
  <si>
    <t>Realizat</t>
  </si>
  <si>
    <t>încasat</t>
  </si>
  <si>
    <t>5=4/2</t>
  </si>
  <si>
    <t>9=8/6</t>
  </si>
  <si>
    <t>-din producţia vândută</t>
  </si>
  <si>
    <t>-din vânzarea mărfurilor</t>
  </si>
  <si>
    <t>- producţia de imobilizări</t>
  </si>
  <si>
    <t>- alte venituri din exploatare</t>
  </si>
  <si>
    <t>* Nu se vor lua în considerare veniturile din subvenţii sau transferuri, precum şi veniturile care nu se transformă în lichidităţi băneşti</t>
  </si>
  <si>
    <t>(nu influenţează fluxul de numerar).</t>
  </si>
  <si>
    <t>Nr. Crt</t>
  </si>
  <si>
    <t>Nr</t>
  </si>
  <si>
    <t>Trim I</t>
  </si>
  <si>
    <t>Trim II</t>
  </si>
  <si>
    <t>Trim III</t>
  </si>
  <si>
    <t>Trim IV</t>
  </si>
  <si>
    <t>Rd.</t>
  </si>
  <si>
    <t>din producţia vândută (Rd.4+Rd.5+Rd.6+Rd.7), din care:</t>
  </si>
  <si>
    <t>din vânzarea produselor</t>
  </si>
  <si>
    <t>din servicii prestate</t>
  </si>
  <si>
    <t>a3)</t>
  </si>
  <si>
    <t>din redevenţe şi chirii</t>
  </si>
  <si>
    <t>a4)</t>
  </si>
  <si>
    <t>alte venituri</t>
  </si>
  <si>
    <t>din vânzarea mărfurilor</t>
  </si>
  <si>
    <t>din subvenţii şi transferuri de exploatare aferente cifrei de afaceri nete (Rd.10+Rd.11+Rd.12), din care:</t>
  </si>
  <si>
    <t>c1</t>
  </si>
  <si>
    <t>subvenţii, cf. prevederilor legale în vigoare</t>
  </si>
  <si>
    <t>c3</t>
  </si>
  <si>
    <t>din producţia de imobilizări</t>
  </si>
  <si>
    <t>venituri aferente costului producţiei în curs de execuţie</t>
  </si>
  <si>
    <t>alte venituri din exploatare (Rd.16+Rd.17+Rd.20+Rd.21+Rd.22), din care:</t>
  </si>
  <si>
    <t>fi)</t>
  </si>
  <si>
    <t>din amenzi şi penalităţi</t>
  </si>
  <si>
    <t>din vânzarea activelor şi alte operaţii de capital (Rd.18+Rd.19), din care:</t>
  </si>
  <si>
    <t>-active corporale</t>
  </si>
  <si>
    <t>- active necorporale</t>
  </si>
  <si>
    <t>din subvenţii pentru investiţii</t>
  </si>
  <si>
    <t>din valorificarea certificatelor C02</t>
  </si>
  <si>
    <t>Venituri financiare (Rd.24+Rd.25+Rd.26+Rd.27+Rd.2B),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</si>
  <si>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</si>
  <si>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</si>
  <si>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</si>
  <si>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</si>
  <si>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</si>
  <si>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Cheltuieli de exploatare (Rd.32+Rd.80+Rd.87+Rd.116), din care:</t>
  </si>
  <si>
    <t>A. Cheltuieli cu bunuri şi servicii (Rd.33+Rd.41+Rd.47), din care:</t>
  </si>
  <si>
    <t>Cheltuieli privind stocurile</t>
  </si>
  <si>
    <t>cheltuieli privind materialele de natura obiectelor de inventar</t>
  </si>
  <si>
    <t>J)</t>
  </si>
  <si>
    <t>ajustări şi deprecieri pentru pierdere de valoare şi provizioane (Rd.125+Rd.126), din care:</t>
  </si>
  <si>
    <t>venituri din provizioane şi ajustări pentru depreciere sau pierderi de valoare , din care:</t>
  </si>
  <si>
    <t>din anularea provizioanelor (Rd. 128+ Rd.129+Rd.130), din care:</t>
  </si>
  <si>
    <t>- din participarea salariaţilor la profit</t>
  </si>
  <si>
    <t>- din deprecierea imobilizărilor corporale şi a activelor circulante</t>
  </si>
  <si>
    <t>- venituri din alte provizioane</t>
  </si>
  <si>
    <t>Cheltuieli financiare (Rd.132+Rd.135+Rd.138), din care:</t>
  </si>
  <si>
    <t>aferente creditelor pentru activitatea curenta</t>
  </si>
  <si>
    <t>cheltuieli din diferenţe de curs valutar (Rd.136+Rd.137), din care:</t>
  </si>
  <si>
    <t>|cheltuieli nedeductibile fiscal</t>
  </si>
  <si>
    <t>Nr. Crt.</t>
  </si>
  <si>
    <t>Stocuri</t>
  </si>
  <si>
    <t>aferente prod, şi cons, propriu pt. desf. activităţii</t>
  </si>
  <si>
    <t>vânzări, lichidări de stocuri</t>
  </si>
  <si>
    <t>7=3+4-5-6</t>
  </si>
  <si>
    <t>Materii prime, din care:</t>
  </si>
  <si>
    <t>- stocuri fără mişcare</t>
  </si>
  <si>
    <t>2.</t>
  </si>
  <si>
    <t>Materiale, din care:</t>
  </si>
  <si>
    <t>2a)</t>
  </si>
  <si>
    <t>3.</t>
  </si>
  <si>
    <t>Obiecte de inventar, din care:</t>
  </si>
  <si>
    <t>3a)</t>
  </si>
  <si>
    <t>4.</t>
  </si>
  <si>
    <t>Piese de schimb, din care:</t>
  </si>
  <si>
    <t>4a)</t>
  </si>
  <si>
    <t>5.</t>
  </si>
  <si>
    <t>Produse finite, din care:</t>
  </si>
  <si>
    <t>5a)</t>
  </si>
  <si>
    <t>6.</t>
  </si>
  <si>
    <t>Alte stocuri, din care:</t>
  </si>
  <si>
    <t>6a)</t>
  </si>
  <si>
    <t>TOTAL GENERAL (Rd.1+Rd.2+Rd.3+Rd.4+Rd.5+Rd.6), din care:</t>
  </si>
  <si>
    <t>- stocuri fără mişcare(Rd.1a+Rd.2a+Rd.3a+Rda.4+Rd.5a+Rd.6a)</t>
  </si>
  <si>
    <t>Sold iniţial an curent (N)</t>
  </si>
  <si>
    <t>Reduceri</t>
  </si>
  <si>
    <t>Reduceri Total an N+1</t>
  </si>
  <si>
    <t>Sold final an N+1</t>
  </si>
  <si>
    <t>Reduceri Total an N+2</t>
  </si>
  <si>
    <t>Sold final an N+2</t>
  </si>
  <si>
    <t>Total an curent (N)</t>
  </si>
  <si>
    <t>încasări creanţe</t>
  </si>
  <si>
    <t>credite</t>
  </si>
  <si>
    <t>alte surse</t>
  </si>
  <si>
    <t>8=3-4</t>
  </si>
  <si>
    <t>10=8-9</t>
  </si>
  <si>
    <t>12=10-11</t>
  </si>
  <si>
    <t>TOTAL (Rd.1a+Rd.1b), din care:</t>
  </si>
  <si>
    <t>1a.</t>
  </si>
  <si>
    <t>- buget general consolidat</t>
  </si>
  <si>
    <t>1b.</t>
  </si>
  <si>
    <t>Total arierate înregistrate în anul precedent (N-1) (Rd.2a+Rd.2b), din care:</t>
  </si>
  <si>
    <t>2a.</t>
  </si>
  <si>
    <t>2b.</t>
  </si>
  <si>
    <t>Constituirea surselor proprii de finanţare pentru proiectele cofinanţate din împrumuturi externe, precum şi pentru constituirea surselor necesare rambursării ratelor de capital, plata dobânzilor, comisioanelor si altor costuri aferente acestor împrumuturi</t>
  </si>
  <si>
    <t>Câştigul mediu lunar pe salariat (lei/persoana) influentat de bonificaţiile si bonusurile in lei si sau natura (Rd.45/Rd.44)/12*1000</t>
  </si>
  <si>
    <t>Productivitatea muncii în unităţi valorice pe total personal mediu in preţuri curente (lei/persoană) (Rd.1/Rd.44)</t>
  </si>
  <si>
    <t>B Cheltuieli cu impozite, taxe şi vărsăminte asimilate (Rd.81+Rd.82+Rd .83+ Rd.84+ Rd.85+Rd.86), din care:</t>
  </si>
  <si>
    <t>d) ch. privind participarea salariaţilor la profitul obtinut în anul precedent</t>
  </si>
  <si>
    <t>b) pentru consiliul de administraţle/consiliul de supraveghere</t>
  </si>
  <si>
    <t>e) ch. privind contribuţia unităţii la schemele de pensii</t>
  </si>
  <si>
    <t xml:space="preserve">                                            pe anul  2013</t>
  </si>
  <si>
    <t>b1) cheltuieli privind consultanţa juridică</t>
  </si>
  <si>
    <t>ch. de sponsorizare a unităţilor de cult</t>
  </si>
  <si>
    <t>ch. privind acordarea ajutoarelor umanitare si sociale</t>
  </si>
  <si>
    <t>alte cheltuieli cu sponsorizarea</t>
  </si>
  <si>
    <t>-interna</t>
  </si>
  <si>
    <t>-externa</t>
  </si>
  <si>
    <t>-aferente bunurilor de natura domeniului public</t>
  </si>
  <si>
    <t xml:space="preserve">ch. cu redevenţa pentru concesionarea bunurilor publice </t>
  </si>
  <si>
    <t>Bonusuri (Rd.93+Rd.96+Rd.97+Rd.98+ Rd.99), din care:</t>
  </si>
  <si>
    <t>d) ch. privind participarea salariaţilor la profitul obţinut în anul precedent</t>
  </si>
  <si>
    <t>Sold la 31.12. an N+1 ( 2014)</t>
  </si>
  <si>
    <t>Sold la 31.12. an N+2 ( 2015)</t>
  </si>
  <si>
    <t>an 2012</t>
  </si>
  <si>
    <t>Total program Aprobat BVC 2012</t>
  </si>
  <si>
    <t>an 2014</t>
  </si>
  <si>
    <t>an 2015</t>
  </si>
  <si>
    <t>i</t>
  </si>
  <si>
    <t>SURSE DE FINANŢARE A INVESTIŢIILOR,PROGRAM POS MEDIU, din care:</t>
  </si>
  <si>
    <t>d)- din disponibil sold inceput an</t>
  </si>
  <si>
    <t>b)-amortizare</t>
  </si>
  <si>
    <t>TOTAL CHELTUIELI PENTRU INVESTIŢII,   din care:</t>
  </si>
  <si>
    <t>Investiţii în curs, ( lucrari in continuare ) din care:</t>
  </si>
  <si>
    <t>a) pentru bunurile proprietate privată a operatorului economic:</t>
  </si>
  <si>
    <t>b) pentru bunurile de natura domeniului public al statului sau a unităţii administrativ-teritoriale:</t>
  </si>
  <si>
    <t>Rambursări de rate, dobanzi  aferente creditelor pentru investiţii, din care:</t>
  </si>
  <si>
    <t>CLT COLTERM SA</t>
  </si>
  <si>
    <t>Timisoara, str. Episcop Joseph Lonovici Nr.4</t>
  </si>
  <si>
    <t>CUI 16063013</t>
  </si>
  <si>
    <t>GRADUL DE REALIZARE A VENITURILOR PROPRII</t>
  </si>
  <si>
    <t>612.01+612.03</t>
  </si>
  <si>
    <t>din 652</t>
  </si>
  <si>
    <t>612.02</t>
  </si>
  <si>
    <t>628.02.9.03</t>
  </si>
  <si>
    <t>628.02.2</t>
  </si>
  <si>
    <t>628.02.9.02</t>
  </si>
  <si>
    <t>635.19 (distrib)</t>
  </si>
  <si>
    <t xml:space="preserve">635, fara 635.04 , fara 5400 lei din 635.19 (tx lic distrib) </t>
  </si>
  <si>
    <t>6582.3.1</t>
  </si>
  <si>
    <t>623.02</t>
  </si>
  <si>
    <t>623.01</t>
  </si>
  <si>
    <t>602+604</t>
  </si>
  <si>
    <t>604+6022</t>
  </si>
  <si>
    <t>603+608</t>
  </si>
  <si>
    <t>6588.1.4  (prod) +635.19 (distrib 5.000)</t>
  </si>
  <si>
    <t>p 6451</t>
  </si>
  <si>
    <t>p 6451, 635.04</t>
  </si>
  <si>
    <t>6581.2</t>
  </si>
  <si>
    <t>6581.2.1</t>
  </si>
  <si>
    <t>6581.2.2</t>
  </si>
  <si>
    <t>p 635 (fara 635.04), p 652, 612.02, 6588.1.4</t>
  </si>
  <si>
    <t>6588.3</t>
  </si>
  <si>
    <t>p652,654,6581.3,6588.1.2, p 6588.1.4,,6588.1.5</t>
  </si>
  <si>
    <t>7583.2</t>
  </si>
  <si>
    <t>p 7581</t>
  </si>
  <si>
    <t>diferenta de scazut de pe costuri 6.359.338</t>
  </si>
  <si>
    <t xml:space="preserve">    +dif ctr mandat dir adj</t>
  </si>
  <si>
    <t>dif</t>
  </si>
  <si>
    <t>-bugetul de Stat-</t>
  </si>
  <si>
    <t>-bugetul Local-</t>
  </si>
  <si>
    <t>c) pentru bunurile de natura domeniului privat al statului sau a unităţii administrativ-teritoriale:</t>
  </si>
  <si>
    <t>d) pentru bunurile luate in concesiune,inchiriate sau in locatie de gestiune,inclusiv cele din domeniul public sau privatde al statului sau a unităţii administrativ-teritoriale:</t>
  </si>
  <si>
    <t>Investiţii efectuate la imobilizarile corporale existent(modernizari), din care:</t>
  </si>
  <si>
    <t>DIRECTOR ECONOMIC</t>
  </si>
  <si>
    <t xml:space="preserve">DIRECTOR GENERAL,  </t>
  </si>
  <si>
    <t>ing.Petrică Pampu</t>
  </si>
  <si>
    <t>Ionel Buciu</t>
  </si>
  <si>
    <t>Câştigul mediu lunar pe salariat aferent salariului de bază (lei/persoană) (Rd.89/Rd. 145)/12</t>
  </si>
  <si>
    <t>Câştigul mediu lunar pe salariat (lel/persoana) Influenţat de bonificaţiile sl bonusurile in lei si sau natura [(Rd.88+Rd.92)/Rd. 145J/12</t>
  </si>
  <si>
    <t>Câştigul mediu lunar pe salariat (lei/persoană) determinat pe baza fondului de salarii aferent personalului angajat pe baza de contract Individual de munca ei/pers) (Rd .88/Rd. 145)/12</t>
  </si>
  <si>
    <t>2.84-4.96 de intrebat Aq</t>
  </si>
  <si>
    <t>p 7588.1.5</t>
  </si>
  <si>
    <t>p652,654,6581.3,6588.1.2, p 6588.1.4,,6588.1.5 certif co2</t>
  </si>
  <si>
    <t>prima vacanta,craciun,pasti ,jubiliare col 1,2- 2013 numai jubiliare</t>
  </si>
  <si>
    <t>alte cheltuieli (  alte si certificate CO2)</t>
  </si>
  <si>
    <t>Timisoara,             str. Ep Joseph Lonovici Nr.4</t>
  </si>
  <si>
    <t>Timisoara, str. Ep Joseph Lonovici Nr.4</t>
  </si>
  <si>
    <t>ICP 2.86-4.96-4.3% de intrebat Aq</t>
  </si>
  <si>
    <t xml:space="preserve">     - lei-</t>
  </si>
  <si>
    <t>Venituri proprii din exploatare :</t>
  </si>
  <si>
    <t xml:space="preserve">     - alţi creditori</t>
  </si>
  <si>
    <t>BCR</t>
  </si>
  <si>
    <t>B Transilvania</t>
  </si>
  <si>
    <t>Bancpost</t>
  </si>
  <si>
    <t>c</t>
  </si>
  <si>
    <t>d</t>
  </si>
  <si>
    <t xml:space="preserve">CREDIT  lei </t>
  </si>
  <si>
    <t>Alpha Bank</t>
  </si>
  <si>
    <t xml:space="preserve">                Ionel Buciu</t>
  </si>
  <si>
    <t>Valoarea anuală scadentă  N+2</t>
  </si>
  <si>
    <t>mii lei</t>
  </si>
  <si>
    <t xml:space="preserve">-bugetul Local  </t>
  </si>
  <si>
    <t>CHELTUIELI PENTRU INVESTIŢII, _ PROGRAM SURSE S.C. COLTERM S.A. din care:</t>
  </si>
  <si>
    <t>b) pentru bunurile de natura domeniului  public al statului sau al unităţii administrativ-teritoriale</t>
  </si>
  <si>
    <t>Reabilitare RTS Cartierul Girocului HCL 289/2008</t>
  </si>
  <si>
    <t>Reabilitare retele termice primare din Mun. Timisoara HCL  nr.166/2004</t>
  </si>
  <si>
    <t>Reabilitare retele termice secundare din Mun. Timisoara HCL nr. 557/2006</t>
  </si>
  <si>
    <t>Modernizari şi transformari puncte termice</t>
  </si>
  <si>
    <t xml:space="preserve">c) pentru bunurile de natura domeniului  privat al statului sau al unităţii administrativ-teritoriale  </t>
  </si>
  <si>
    <t>Retehnologizarea centralelor termice de cartier prin instalarea unor unitati de cogenerare cu motoare termiceCT BUZIAS   HCL 556/2006</t>
  </si>
  <si>
    <t>Retehnologizarea centralelor termice de cartier CT Dunarea prin instalarea unor unitati de cogenerare cu motoare termice  HCL 556/2006</t>
  </si>
  <si>
    <t>Modernizari CET Centru</t>
  </si>
  <si>
    <t>Modernizari CET SUD</t>
  </si>
  <si>
    <t>d) peritru bunurile luate în concesiune. închiriate sau în locaţie de gestiune. excusiv cele din dcmeniul public sau privat al stalului sau al unităţi administrativ teritoriale:</t>
  </si>
  <si>
    <t xml:space="preserve">     - (denumire obiectiv)</t>
  </si>
  <si>
    <t>-</t>
  </si>
  <si>
    <t>CHE Bega Timişoara. Retehnologizare prin reamenajare cu hidroagregate moderne</t>
  </si>
  <si>
    <t>Inlocuire combustibil de rezervă păcură cu CLU-CET Centru</t>
  </si>
  <si>
    <t>Valorificare energetică deşeuri menajere CET Sud</t>
  </si>
  <si>
    <t>CHELTUIELI   Proiecte studii de fezabilitate şiimobilizări necorporale</t>
  </si>
  <si>
    <t>SPF,SF şi imobilizări necorporale</t>
  </si>
  <si>
    <t>Dotaţii şi utilaje independente</t>
  </si>
  <si>
    <t xml:space="preserve">   -miilei-</t>
  </si>
  <si>
    <t>Câştigul mediu lunar pe salariat aferent salariului de bază (lei/persoană) (Rd.89/Rd. 145)/12*1000</t>
  </si>
  <si>
    <t>`</t>
  </si>
  <si>
    <t xml:space="preserve">    -miilei-</t>
  </si>
  <si>
    <t xml:space="preserve">     -miilei-</t>
  </si>
  <si>
    <t>mii   lei</t>
  </si>
  <si>
    <t>Productivitatea muncii în unităţi valorice pe total personal mediu în preţuri curente (lei/persoană)(Rd.1/Rd.145)</t>
  </si>
  <si>
    <t>Elemente de calcul a productivitatii muncii in unitati fizice, din care</t>
  </si>
  <si>
    <t>a) pentru bunurile proprietatea privată a operatorului economic:</t>
  </si>
  <si>
    <t>b) pentru bunurile ce natura domeniului public al statului sau al unităţii administrativ-teritoriale:</t>
  </si>
  <si>
    <t xml:space="preserve"> pentru bunurile de natura domeniului public al statului sau a unităţii administrativ-teritoriale:</t>
  </si>
  <si>
    <t>Câştigul mediu lunar pe salariat (lel/persoana) Influenţat de bonificaţiile sl bonusurile in lei si sau natura [(Rd.88+Rd.92)/Rd. 145/12*1000</t>
  </si>
  <si>
    <t>Câştigul mediu lunar pe salariat (lei/persoană) determinat pe baza fondului de salarii aferent personalului angajat pe baza de contract Individual de munca ei/pers) (Rd .88/Rd. 145)/12*1000</t>
  </si>
  <si>
    <t>Măsura 2.Inregistrarea a 4 mil.venituri din productia de imobilizari prin executarea de lucrari de investitii in regie proprie</t>
  </si>
  <si>
    <t>Masura.3.Vanzare de fier vechi demontat din CET Sud</t>
  </si>
  <si>
    <t>Masura 4.Venituri din taxa de abonament aferent lucrarilor efectuate la blocuri</t>
  </si>
  <si>
    <t>Masura nr.5.Scaderea cheltuielilor de productie prin reducerea pierderilor de energie termica utilizand tehnologii noi de preizolare</t>
  </si>
  <si>
    <t>Masura nr.7.Disponibilizarea a 100 persoane  in sem.II.2013 inclusiv cotele salariale aferente</t>
  </si>
  <si>
    <t xml:space="preserve">Cauza 1.Plati compensatorii acordate disponibilizatilor din anul 2013 inclusiv cotele aferente </t>
  </si>
  <si>
    <t>Măsura 1.Livrarea de energie termica mai mare cu 23.202 Gcal fata de anul 2012 cu o influenta pozitiva asupra rezultatului brut</t>
  </si>
  <si>
    <t xml:space="preserve">Masura nr.8 O structura optima de combustibil prin consumul a 381 mii to carbune si 54.000 mii mc gaz </t>
  </si>
  <si>
    <t>Alte măsuri de reducere a costurilor fixe</t>
  </si>
  <si>
    <t>Pct. I</t>
  </si>
  <si>
    <t>Trim IV 2013</t>
  </si>
  <si>
    <t>Trim II- IV 2013</t>
  </si>
  <si>
    <t>SemII 2013</t>
  </si>
  <si>
    <t xml:space="preserve">                                   </t>
  </si>
  <si>
    <t>Masura nr.6.Reducerea cheltuielilor de productie prin cresterea randamentului de productie (cogenerare) a energiei termice</t>
  </si>
  <si>
    <t>DIRECTOR PRODUCTIE</t>
  </si>
  <si>
    <t>DIRECTOR COMERCIAL</t>
  </si>
  <si>
    <t>ing.Dorin Popa</t>
  </si>
  <si>
    <t>Cristian Mircea</t>
  </si>
  <si>
    <t>DIRECTOR GENERAL,                             DIRECTOR ECONOMIC,</t>
  </si>
  <si>
    <t>DIRECTOR PRODUCTIE,</t>
  </si>
  <si>
    <t>DIRECTOR COMERCIAL,</t>
  </si>
  <si>
    <t>ing. Petrică Pampu                                             Ionel Buciu</t>
  </si>
  <si>
    <t xml:space="preserve">     ing. Dorin Popa</t>
  </si>
  <si>
    <t xml:space="preserve">       Cristian Mircea </t>
  </si>
  <si>
    <t xml:space="preserve"> Detalierea indicatorilor economico-financiar</t>
  </si>
  <si>
    <t>prevazuti in bugetul de venituri si cheltuiel</t>
  </si>
  <si>
    <t xml:space="preserve">Repartizarea pe trimestre </t>
  </si>
  <si>
    <t>indicatorilor economico-financiar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</si>
</sst>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&quot;-&quot;??\ _l_e_i_-;_-@_-"/>
    <numFmt numFmtId="165" formatCode="_-* #,##0.00_-;\-* #,##0.00_-;_-* &quot;-&quot;??_-;_-@_-"/>
    <numFmt numFmtId="166" formatCode="_-* #,##0_-;\-* #,##0_-;_-* &quot;-&quot;??_-;_-@_-"/>
    <numFmt numFmtId="167" formatCode="#,##0_ ;\-#,##0\ "/>
    <numFmt numFmtId="168" formatCode="#,##0.0"/>
  </numFmts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vertAlign val="subscript"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i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0" fontId="24" fillId="0" borderId="0"/>
  </cellStyleXfs>
  <cellXfs count="703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indent="2"/>
    </xf>
    <xf numFmtId="0" fontId="1" fillId="0" borderId="0" xfId="0" applyFont="1" applyBorder="1" applyAlignment="1">
      <alignment vertical="top"/>
    </xf>
    <xf numFmtId="0" fontId="1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/>
    </xf>
    <xf numFmtId="0" fontId="1" fillId="0" borderId="2" xfId="0" applyFont="1" applyBorder="1"/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8" fillId="0" borderId="8" xfId="0" applyFont="1" applyBorder="1"/>
    <xf numFmtId="0" fontId="1" fillId="0" borderId="9" xfId="0" applyFont="1" applyBorder="1"/>
    <xf numFmtId="0" fontId="0" fillId="0" borderId="10" xfId="0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8" fillId="0" borderId="10" xfId="0" applyFont="1" applyBorder="1"/>
    <xf numFmtId="0" fontId="1" fillId="0" borderId="11" xfId="0" applyFont="1" applyBorder="1"/>
    <xf numFmtId="0" fontId="0" fillId="0" borderId="0" xfId="0" applyBorder="1"/>
    <xf numFmtId="0" fontId="1" fillId="0" borderId="0" xfId="0" applyFont="1" applyBorder="1"/>
    <xf numFmtId="0" fontId="8" fillId="0" borderId="0" xfId="0" applyFont="1" applyBorder="1"/>
    <xf numFmtId="0" fontId="2" fillId="0" borderId="0" xfId="0" applyFont="1"/>
    <xf numFmtId="10" fontId="1" fillId="0" borderId="0" xfId="0" applyNumberFormat="1" applyFont="1" applyAlignment="1">
      <alignment horizontal="center"/>
    </xf>
    <xf numFmtId="10" fontId="2" fillId="0" borderId="12" xfId="0" applyNumberFormat="1" applyFont="1" applyBorder="1" applyAlignment="1">
      <alignment horizontal="center" vertical="top"/>
    </xf>
    <xf numFmtId="10" fontId="1" fillId="0" borderId="1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10" fontId="1" fillId="0" borderId="16" xfId="0" applyNumberFormat="1" applyFont="1" applyBorder="1" applyAlignment="1">
      <alignment horizontal="center" vertical="top"/>
    </xf>
    <xf numFmtId="0" fontId="0" fillId="0" borderId="7" xfId="0" applyBorder="1"/>
    <xf numFmtId="0" fontId="0" fillId="0" borderId="11" xfId="0" applyBorder="1"/>
    <xf numFmtId="0" fontId="0" fillId="0" borderId="9" xfId="0" applyBorder="1"/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indent="1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/>
    <xf numFmtId="9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2" fontId="1" fillId="0" borderId="12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1" fillId="0" borderId="1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1" fillId="0" borderId="6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 inden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indent="2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10" fontId="1" fillId="4" borderId="12" xfId="0" applyNumberFormat="1" applyFont="1" applyFill="1" applyBorder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 indent="1"/>
    </xf>
    <xf numFmtId="3" fontId="1" fillId="0" borderId="2" xfId="0" applyNumberFormat="1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 indent="1"/>
    </xf>
    <xf numFmtId="3" fontId="1" fillId="4" borderId="2" xfId="0" applyNumberFormat="1" applyFont="1" applyFill="1" applyBorder="1" applyAlignment="1">
      <alignment horizontal="right" vertical="top"/>
    </xf>
    <xf numFmtId="3" fontId="1" fillId="4" borderId="2" xfId="0" applyNumberFormat="1" applyFont="1" applyFill="1" applyBorder="1" applyAlignment="1">
      <alignment vertical="top"/>
    </xf>
    <xf numFmtId="3" fontId="1" fillId="4" borderId="2" xfId="0" applyNumberFormat="1" applyFont="1" applyFill="1" applyBorder="1" applyAlignment="1">
      <alignment horizontal="right" vertical="top" indent="2"/>
    </xf>
    <xf numFmtId="3" fontId="1" fillId="0" borderId="15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4" borderId="2" xfId="0" applyNumberFormat="1" applyFont="1" applyFill="1" applyBorder="1" applyAlignment="1">
      <alignment horizontal="right" vertical="top" indent="1"/>
    </xf>
    <xf numFmtId="0" fontId="1" fillId="4" borderId="1" xfId="0" applyFont="1" applyFill="1" applyBorder="1" applyAlignment="1">
      <alignment horizontal="left" vertical="top" indent="1"/>
    </xf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vertical="top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0" borderId="15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 indent="1"/>
    </xf>
    <xf numFmtId="0" fontId="9" fillId="0" borderId="2" xfId="0" applyFont="1" applyBorder="1" applyAlignment="1">
      <alignment horizontal="left" vertical="top"/>
    </xf>
    <xf numFmtId="0" fontId="12" fillId="0" borderId="0" xfId="0" applyFont="1"/>
    <xf numFmtId="0" fontId="12" fillId="0" borderId="0" xfId="0" applyFont="1" applyBorder="1"/>
    <xf numFmtId="3" fontId="1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right" vertical="top" indent="1"/>
    </xf>
    <xf numFmtId="3" fontId="1" fillId="0" borderId="1" xfId="1" applyNumberFormat="1" applyFont="1" applyBorder="1" applyAlignment="1">
      <alignment horizontal="right" vertical="top"/>
    </xf>
    <xf numFmtId="3" fontId="1" fillId="4" borderId="1" xfId="1" applyNumberFormat="1" applyFont="1" applyFill="1" applyBorder="1" applyAlignment="1">
      <alignment horizontal="right" vertical="top" indent="1"/>
    </xf>
    <xf numFmtId="0" fontId="1" fillId="4" borderId="0" xfId="0" applyFont="1" applyFill="1"/>
    <xf numFmtId="3" fontId="1" fillId="4" borderId="1" xfId="1" applyNumberFormat="1" applyFont="1" applyFill="1" applyBorder="1" applyAlignment="1">
      <alignment horizontal="right" vertical="top"/>
    </xf>
    <xf numFmtId="10" fontId="1" fillId="0" borderId="0" xfId="0" applyNumberFormat="1" applyFont="1"/>
    <xf numFmtId="0" fontId="5" fillId="0" borderId="1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top"/>
    </xf>
    <xf numFmtId="10" fontId="2" fillId="0" borderId="12" xfId="0" applyNumberFormat="1" applyFont="1" applyBorder="1" applyAlignment="1">
      <alignment vertical="top"/>
    </xf>
    <xf numFmtId="10" fontId="2" fillId="0" borderId="22" xfId="0" applyNumberFormat="1" applyFont="1" applyBorder="1" applyAlignment="1">
      <alignment vertical="top"/>
    </xf>
    <xf numFmtId="10" fontId="1" fillId="0" borderId="12" xfId="0" applyNumberFormat="1" applyFont="1" applyBorder="1" applyAlignment="1">
      <alignment vertical="top"/>
    </xf>
    <xf numFmtId="10" fontId="1" fillId="0" borderId="22" xfId="0" applyNumberFormat="1" applyFont="1" applyBorder="1" applyAlignment="1">
      <alignment vertical="top"/>
    </xf>
    <xf numFmtId="10" fontId="1" fillId="0" borderId="2" xfId="0" applyNumberFormat="1" applyFont="1" applyBorder="1" applyAlignment="1">
      <alignment vertical="top"/>
    </xf>
    <xf numFmtId="10" fontId="1" fillId="0" borderId="23" xfId="0" applyNumberFormat="1" applyFont="1" applyBorder="1" applyAlignment="1">
      <alignment vertical="top"/>
    </xf>
    <xf numFmtId="10" fontId="1" fillId="4" borderId="12" xfId="0" applyNumberFormat="1" applyFont="1" applyFill="1" applyBorder="1" applyAlignment="1">
      <alignment vertical="top"/>
    </xf>
    <xf numFmtId="10" fontId="1" fillId="4" borderId="22" xfId="0" applyNumberFormat="1" applyFont="1" applyFill="1" applyBorder="1" applyAlignment="1">
      <alignment vertical="top"/>
    </xf>
    <xf numFmtId="10" fontId="1" fillId="0" borderId="16" xfId="0" applyNumberFormat="1" applyFont="1" applyBorder="1" applyAlignment="1">
      <alignment vertical="top"/>
    </xf>
    <xf numFmtId="10" fontId="1" fillId="0" borderId="24" xfId="0" applyNumberFormat="1" applyFont="1" applyBorder="1" applyAlignment="1">
      <alignment vertical="top"/>
    </xf>
    <xf numFmtId="3" fontId="2" fillId="4" borderId="1" xfId="0" applyNumberFormat="1" applyFont="1" applyFill="1" applyBorder="1" applyAlignment="1">
      <alignment horizontal="right" vertical="center"/>
    </xf>
    <xf numFmtId="3" fontId="1" fillId="0" borderId="2" xfId="1" applyNumberFormat="1" applyFont="1" applyBorder="1" applyAlignment="1">
      <alignment vertical="top"/>
    </xf>
    <xf numFmtId="0" fontId="1" fillId="0" borderId="25" xfId="0" applyFont="1" applyBorder="1" applyAlignment="1">
      <alignment horizontal="left" vertical="top"/>
    </xf>
    <xf numFmtId="3" fontId="1" fillId="0" borderId="25" xfId="0" applyNumberFormat="1" applyFont="1" applyBorder="1" applyAlignment="1">
      <alignment vertical="top"/>
    </xf>
    <xf numFmtId="3" fontId="1" fillId="0" borderId="25" xfId="1" applyNumberFormat="1" applyFont="1" applyBorder="1" applyAlignment="1">
      <alignment vertical="top"/>
    </xf>
    <xf numFmtId="10" fontId="1" fillId="0" borderId="25" xfId="0" applyNumberFormat="1" applyFont="1" applyBorder="1" applyAlignment="1">
      <alignment vertical="top"/>
    </xf>
    <xf numFmtId="10" fontId="1" fillId="0" borderId="26" xfId="0" applyNumberFormat="1" applyFont="1" applyBorder="1" applyAlignment="1">
      <alignment vertical="top"/>
    </xf>
    <xf numFmtId="0" fontId="1" fillId="0" borderId="15" xfId="0" applyFont="1" applyBorder="1" applyAlignment="1">
      <alignment horizontal="left" vertical="top" indent="2"/>
    </xf>
    <xf numFmtId="3" fontId="1" fillId="0" borderId="15" xfId="0" applyNumberFormat="1" applyFont="1" applyBorder="1" applyAlignment="1">
      <alignment vertical="top"/>
    </xf>
    <xf numFmtId="3" fontId="1" fillId="0" borderId="15" xfId="1" applyNumberFormat="1" applyFont="1" applyBorder="1" applyAlignment="1">
      <alignment vertical="top"/>
    </xf>
    <xf numFmtId="10" fontId="1" fillId="0" borderId="15" xfId="0" applyNumberFormat="1" applyFont="1" applyBorder="1" applyAlignment="1">
      <alignment vertical="top"/>
    </xf>
    <xf numFmtId="10" fontId="1" fillId="0" borderId="27" xfId="0" applyNumberFormat="1" applyFont="1" applyBorder="1" applyAlignment="1">
      <alignment vertical="top"/>
    </xf>
    <xf numFmtId="0" fontId="1" fillId="0" borderId="6" xfId="0" applyFont="1" applyBorder="1" applyAlignment="1">
      <alignment horizontal="right" vertical="top"/>
    </xf>
    <xf numFmtId="0" fontId="1" fillId="0" borderId="27" xfId="0" applyFont="1" applyBorder="1" applyAlignment="1">
      <alignment horizontal="right" vertical="top"/>
    </xf>
    <xf numFmtId="0" fontId="1" fillId="0" borderId="0" xfId="0" applyFont="1" applyAlignment="1">
      <alignment horizontal="right"/>
    </xf>
    <xf numFmtId="0" fontId="9" fillId="0" borderId="3" xfId="0" applyFont="1" applyBorder="1" applyAlignment="1">
      <alignment horizontal="left" vertical="top" indent="2"/>
    </xf>
    <xf numFmtId="0" fontId="9" fillId="0" borderId="5" xfId="0" applyFont="1" applyBorder="1" applyAlignment="1">
      <alignment horizontal="justify" vertical="top"/>
    </xf>
    <xf numFmtId="3" fontId="9" fillId="0" borderId="2" xfId="0" applyNumberFormat="1" applyFont="1" applyBorder="1" applyAlignment="1">
      <alignment vertical="top"/>
    </xf>
    <xf numFmtId="0" fontId="9" fillId="0" borderId="21" xfId="0" applyFont="1" applyBorder="1" applyAlignment="1">
      <alignment horizontal="left" vertical="top" indent="1"/>
    </xf>
    <xf numFmtId="0" fontId="9" fillId="0" borderId="25" xfId="0" applyFont="1" applyBorder="1" applyAlignment="1">
      <alignment horizontal="left" vertical="top"/>
    </xf>
    <xf numFmtId="3" fontId="9" fillId="0" borderId="25" xfId="0" applyNumberFormat="1" applyFont="1" applyBorder="1" applyAlignment="1">
      <alignment vertical="top"/>
    </xf>
    <xf numFmtId="3" fontId="9" fillId="0" borderId="26" xfId="0" applyNumberFormat="1" applyFont="1" applyBorder="1" applyAlignment="1">
      <alignment vertical="top"/>
    </xf>
    <xf numFmtId="0" fontId="9" fillId="0" borderId="14" xfId="0" applyFont="1" applyBorder="1" applyAlignment="1">
      <alignment horizontal="left" vertical="top" indent="2"/>
    </xf>
    <xf numFmtId="3" fontId="9" fillId="0" borderId="23" xfId="0" applyNumberFormat="1" applyFont="1" applyBorder="1" applyAlignment="1">
      <alignment vertical="top"/>
    </xf>
    <xf numFmtId="0" fontId="9" fillId="0" borderId="17" xfId="0" applyFont="1" applyBorder="1" applyAlignment="1">
      <alignment horizontal="left" vertical="top" indent="1"/>
    </xf>
    <xf numFmtId="3" fontId="9" fillId="0" borderId="15" xfId="0" applyNumberFormat="1" applyFont="1" applyBorder="1" applyAlignment="1">
      <alignment vertical="top"/>
    </xf>
    <xf numFmtId="3" fontId="9" fillId="0" borderId="27" xfId="0" applyNumberFormat="1" applyFont="1" applyBorder="1" applyAlignment="1">
      <alignment vertical="top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167" fontId="1" fillId="0" borderId="1" xfId="1" applyNumberFormat="1" applyFont="1" applyBorder="1" applyAlignment="1">
      <alignment vertical="top"/>
    </xf>
    <xf numFmtId="0" fontId="17" fillId="3" borderId="1" xfId="0" applyFont="1" applyFill="1" applyBorder="1" applyAlignment="1">
      <alignment horizontal="center" vertical="top"/>
    </xf>
    <xf numFmtId="49" fontId="17" fillId="3" borderId="1" xfId="0" applyNumberFormat="1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 indent="1"/>
    </xf>
    <xf numFmtId="167" fontId="17" fillId="3" borderId="1" xfId="1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49" fontId="2" fillId="5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indent="1"/>
    </xf>
    <xf numFmtId="167" fontId="14" fillId="5" borderId="1" xfId="1" applyNumberFormat="1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9" fontId="12" fillId="4" borderId="1" xfId="0" applyNumberFormat="1" applyFont="1" applyFill="1" applyBorder="1" applyAlignment="1">
      <alignment horizontal="left" vertical="top"/>
    </xf>
    <xf numFmtId="167" fontId="12" fillId="0" borderId="1" xfId="1" applyNumberFormat="1" applyFont="1" applyBorder="1" applyAlignment="1">
      <alignment vertical="top"/>
    </xf>
    <xf numFmtId="167" fontId="14" fillId="0" borderId="1" xfId="1" applyNumberFormat="1" applyFont="1" applyBorder="1" applyAlignment="1">
      <alignment vertical="top"/>
    </xf>
    <xf numFmtId="167" fontId="12" fillId="0" borderId="1" xfId="1" applyNumberFormat="1" applyFont="1" applyBorder="1" applyAlignment="1"/>
    <xf numFmtId="167" fontId="14" fillId="0" borderId="1" xfId="1" applyNumberFormat="1" applyFont="1" applyBorder="1" applyAlignment="1"/>
    <xf numFmtId="167" fontId="14" fillId="0" borderId="28" xfId="1" applyNumberFormat="1" applyFont="1" applyBorder="1" applyAlignment="1"/>
    <xf numFmtId="0" fontId="6" fillId="4" borderId="1" xfId="0" applyFont="1" applyFill="1" applyBorder="1" applyAlignment="1">
      <alignment horizontal="center" vertical="top"/>
    </xf>
    <xf numFmtId="49" fontId="6" fillId="4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indent="1"/>
    </xf>
    <xf numFmtId="167" fontId="18" fillId="0" borderId="1" xfId="1" applyNumberFormat="1" applyFont="1" applyBorder="1" applyAlignment="1">
      <alignment vertical="top"/>
    </xf>
    <xf numFmtId="167" fontId="18" fillId="4" borderId="1" xfId="1" applyNumberFormat="1" applyFont="1" applyFill="1" applyBorder="1" applyAlignment="1">
      <alignment vertical="top"/>
    </xf>
    <xf numFmtId="167" fontId="12" fillId="4" borderId="1" xfId="1" applyNumberFormat="1" applyFont="1" applyFill="1" applyBorder="1" applyAlignment="1">
      <alignment vertical="top"/>
    </xf>
    <xf numFmtId="49" fontId="2" fillId="6" borderId="1" xfId="0" applyNumberFormat="1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 indent="1"/>
    </xf>
    <xf numFmtId="167" fontId="12" fillId="6" borderId="1" xfId="1" applyNumberFormat="1" applyFont="1" applyFill="1" applyBorder="1" applyAlignment="1">
      <alignment vertical="top"/>
    </xf>
    <xf numFmtId="0" fontId="1" fillId="4" borderId="1" xfId="0" applyFont="1" applyFill="1" applyBorder="1" applyAlignment="1">
      <alignment horizontal="left" vertical="top"/>
    </xf>
    <xf numFmtId="49" fontId="13" fillId="4" borderId="1" xfId="0" applyNumberFormat="1" applyFont="1" applyFill="1" applyBorder="1" applyAlignment="1">
      <alignment horizontal="left" vertical="top" wrapText="1"/>
    </xf>
    <xf numFmtId="167" fontId="12" fillId="6" borderId="5" xfId="1" applyNumberFormat="1" applyFont="1" applyFill="1" applyBorder="1" applyAlignment="1">
      <alignment vertical="top"/>
    </xf>
    <xf numFmtId="0" fontId="1" fillId="4" borderId="19" xfId="0" applyFont="1" applyFill="1" applyBorder="1" applyAlignment="1">
      <alignment horizontal="left" vertical="top" indent="1"/>
    </xf>
    <xf numFmtId="167" fontId="12" fillId="4" borderId="18" xfId="1" applyNumberFormat="1" applyFont="1" applyFill="1" applyBorder="1" applyAlignment="1">
      <alignment vertical="top"/>
    </xf>
    <xf numFmtId="167" fontId="2" fillId="0" borderId="1" xfId="1" applyNumberFormat="1" applyFont="1" applyBorder="1" applyAlignment="1">
      <alignment horizontal="center" vertical="top"/>
    </xf>
    <xf numFmtId="165" fontId="2" fillId="6" borderId="1" xfId="1" applyFont="1" applyFill="1" applyBorder="1" applyAlignment="1">
      <alignment horizontal="left" vertical="top"/>
    </xf>
    <xf numFmtId="165" fontId="14" fillId="6" borderId="1" xfId="1" applyFont="1" applyFill="1" applyBorder="1" applyAlignment="1">
      <alignment horizontal="left" vertical="top" indent="1"/>
    </xf>
    <xf numFmtId="167" fontId="14" fillId="6" borderId="1" xfId="1" applyNumberFormat="1" applyFont="1" applyFill="1" applyBorder="1" applyAlignment="1">
      <alignment vertical="top"/>
    </xf>
    <xf numFmtId="49" fontId="14" fillId="6" borderId="1" xfId="0" applyNumberFormat="1" applyFont="1" applyFill="1" applyBorder="1" applyAlignment="1">
      <alignment horizontal="left" vertical="top"/>
    </xf>
    <xf numFmtId="0" fontId="14" fillId="6" borderId="1" xfId="0" applyFont="1" applyFill="1" applyBorder="1" applyAlignment="1">
      <alignment horizontal="left" vertical="top" indent="1"/>
    </xf>
    <xf numFmtId="49" fontId="1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20" fillId="0" borderId="0" xfId="0" applyFont="1" applyAlignment="1"/>
    <xf numFmtId="166" fontId="2" fillId="0" borderId="2" xfId="1" applyNumberFormat="1" applyFont="1" applyBorder="1" applyAlignment="1">
      <alignment vertical="top"/>
    </xf>
    <xf numFmtId="166" fontId="2" fillId="0" borderId="12" xfId="1" applyNumberFormat="1" applyFont="1" applyBorder="1" applyAlignment="1">
      <alignment horizontal="center" vertical="top"/>
    </xf>
    <xf numFmtId="10" fontId="2" fillId="0" borderId="22" xfId="0" applyNumberFormat="1" applyFont="1" applyBorder="1" applyAlignment="1">
      <alignment horizontal="center" vertical="top"/>
    </xf>
    <xf numFmtId="166" fontId="1" fillId="0" borderId="2" xfId="1" applyNumberFormat="1" applyFont="1" applyBorder="1" applyAlignment="1">
      <alignment vertical="top"/>
    </xf>
    <xf numFmtId="166" fontId="1" fillId="0" borderId="12" xfId="1" applyNumberFormat="1" applyFont="1" applyBorder="1" applyAlignment="1">
      <alignment vertical="top"/>
    </xf>
    <xf numFmtId="10" fontId="1" fillId="0" borderId="22" xfId="0" applyNumberFormat="1" applyFont="1" applyBorder="1" applyAlignment="1">
      <alignment horizontal="center" vertical="top"/>
    </xf>
    <xf numFmtId="166" fontId="2" fillId="0" borderId="2" xfId="1" applyNumberFormat="1" applyFont="1" applyBorder="1" applyAlignment="1">
      <alignment horizontal="right" vertical="top"/>
    </xf>
    <xf numFmtId="166" fontId="2" fillId="0" borderId="2" xfId="1" applyNumberFormat="1" applyFont="1" applyBorder="1" applyAlignment="1">
      <alignment horizontal="right" vertical="top" indent="1"/>
    </xf>
    <xf numFmtId="3" fontId="1" fillId="0" borderId="1" xfId="0" applyNumberFormat="1" applyFont="1" applyFill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1" fillId="7" borderId="1" xfId="0" applyFont="1" applyFill="1" applyBorder="1" applyAlignment="1">
      <alignment horizontal="left" vertical="top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1" xfId="0" applyNumberFormat="1" applyFont="1" applyFill="1" applyBorder="1" applyAlignment="1">
      <alignment horizontal="right" vertical="center"/>
    </xf>
    <xf numFmtId="3" fontId="1" fillId="8" borderId="1" xfId="0" applyNumberFormat="1" applyFont="1" applyFill="1" applyBorder="1" applyAlignment="1">
      <alignment horizontal="right" vertical="center"/>
    </xf>
    <xf numFmtId="0" fontId="8" fillId="0" borderId="0" xfId="0" applyFont="1"/>
    <xf numFmtId="1" fontId="1" fillId="0" borderId="0" xfId="0" applyNumberFormat="1" applyFont="1" applyAlignment="1">
      <alignment horizontal="left" vertical="center"/>
    </xf>
    <xf numFmtId="3" fontId="1" fillId="9" borderId="1" xfId="0" applyNumberFormat="1" applyFont="1" applyFill="1" applyBorder="1" applyAlignment="1">
      <alignment horizontal="right" vertical="center"/>
    </xf>
    <xf numFmtId="3" fontId="1" fillId="10" borderId="1" xfId="0" applyNumberFormat="1" applyFont="1" applyFill="1" applyBorder="1" applyAlignment="1">
      <alignment horizontal="right" vertical="center"/>
    </xf>
    <xf numFmtId="3" fontId="1" fillId="11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3" fontId="1" fillId="12" borderId="1" xfId="0" applyNumberFormat="1" applyFont="1" applyFill="1" applyBorder="1" applyAlignment="1">
      <alignment horizontal="right" vertical="center"/>
    </xf>
    <xf numFmtId="10" fontId="1" fillId="0" borderId="0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vertical="center"/>
    </xf>
    <xf numFmtId="3" fontId="1" fillId="0" borderId="1" xfId="1" applyNumberFormat="1" applyFont="1" applyBorder="1" applyAlignment="1">
      <alignment vertical="top"/>
    </xf>
    <xf numFmtId="3" fontId="1" fillId="0" borderId="1" xfId="1" applyNumberFormat="1" applyFont="1" applyBorder="1" applyAlignment="1">
      <alignment vertical="center"/>
    </xf>
    <xf numFmtId="3" fontId="1" fillId="4" borderId="1" xfId="1" applyNumberFormat="1" applyFont="1" applyFill="1" applyBorder="1" applyAlignment="1">
      <alignment vertical="top"/>
    </xf>
    <xf numFmtId="3" fontId="1" fillId="5" borderId="2" xfId="0" applyNumberFormat="1" applyFont="1" applyFill="1" applyBorder="1" applyAlignment="1">
      <alignment horizontal="right" vertical="top"/>
    </xf>
    <xf numFmtId="3" fontId="2" fillId="0" borderId="0" xfId="0" applyNumberFormat="1" applyFont="1"/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vertical="center"/>
    </xf>
    <xf numFmtId="0" fontId="2" fillId="4" borderId="0" xfId="0" applyFont="1" applyFill="1"/>
    <xf numFmtId="3" fontId="1" fillId="4" borderId="1" xfId="0" applyNumberFormat="1" applyFont="1" applyFill="1" applyBorder="1" applyAlignment="1">
      <alignment vertical="center"/>
    </xf>
    <xf numFmtId="0" fontId="1" fillId="4" borderId="11" xfId="0" applyFont="1" applyFill="1" applyBorder="1" applyAlignment="1">
      <alignment horizontal="center" vertical="center"/>
    </xf>
    <xf numFmtId="3" fontId="1" fillId="4" borderId="1" xfId="1" applyNumberFormat="1" applyFont="1" applyFill="1" applyBorder="1" applyAlignment="1">
      <alignment vertical="center"/>
    </xf>
    <xf numFmtId="165" fontId="1" fillId="4" borderId="1" xfId="1" applyFont="1" applyFill="1" applyBorder="1" applyAlignment="1">
      <alignment vertical="center"/>
    </xf>
    <xf numFmtId="10" fontId="1" fillId="4" borderId="0" xfId="0" applyNumberFormat="1" applyFont="1" applyFill="1"/>
    <xf numFmtId="0" fontId="5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10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3" fontId="2" fillId="4" borderId="0" xfId="0" applyNumberFormat="1" applyFont="1" applyFill="1" applyBorder="1" applyAlignment="1">
      <alignment horizontal="right" vertical="center"/>
    </xf>
    <xf numFmtId="165" fontId="1" fillId="0" borderId="0" xfId="1" applyFont="1" applyFill="1" applyBorder="1" applyAlignment="1">
      <alignment vertical="center"/>
    </xf>
    <xf numFmtId="0" fontId="5" fillId="4" borderId="0" xfId="0" applyFont="1" applyFill="1"/>
    <xf numFmtId="0" fontId="1" fillId="4" borderId="3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 inden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/>
    </xf>
    <xf numFmtId="0" fontId="1" fillId="4" borderId="18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justify" vertical="top" wrapText="1"/>
    </xf>
    <xf numFmtId="0" fontId="2" fillId="4" borderId="1" xfId="0" applyFont="1" applyFill="1" applyBorder="1" applyAlignment="1">
      <alignment horizontal="left" vertical="top" indent="1"/>
    </xf>
    <xf numFmtId="0" fontId="2" fillId="4" borderId="1" xfId="0" applyFont="1" applyFill="1" applyBorder="1" applyAlignment="1">
      <alignment horizontal="left" vertical="top"/>
    </xf>
    <xf numFmtId="9" fontId="2" fillId="4" borderId="1" xfId="0" applyNumberFormat="1" applyFont="1" applyFill="1" applyBorder="1" applyAlignment="1">
      <alignment horizontal="center" vertical="center"/>
    </xf>
    <xf numFmtId="1" fontId="1" fillId="4" borderId="0" xfId="0" applyNumberFormat="1" applyFont="1" applyFill="1"/>
    <xf numFmtId="9" fontId="1" fillId="4" borderId="1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top" indent="1"/>
    </xf>
    <xf numFmtId="1" fontId="1" fillId="4" borderId="0" xfId="0" applyNumberFormat="1" applyFont="1" applyFill="1" applyAlignment="1">
      <alignment horizontal="left"/>
    </xf>
    <xf numFmtId="0" fontId="1" fillId="4" borderId="1" xfId="0" applyFont="1" applyFill="1" applyBorder="1" applyAlignment="1">
      <alignment horizontal="justify" vertical="top"/>
    </xf>
    <xf numFmtId="0" fontId="1" fillId="4" borderId="5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/>
    </xf>
    <xf numFmtId="0" fontId="15" fillId="4" borderId="1" xfId="0" applyFont="1" applyFill="1" applyBorder="1" applyAlignment="1">
      <alignment horizontal="left" vertical="top"/>
    </xf>
    <xf numFmtId="9" fontId="1" fillId="4" borderId="0" xfId="0" applyNumberFormat="1" applyFont="1" applyFill="1"/>
    <xf numFmtId="0" fontId="5" fillId="4" borderId="1" xfId="0" applyFont="1" applyFill="1" applyBorder="1" applyAlignment="1">
      <alignment horizontal="left" vertical="top"/>
    </xf>
    <xf numFmtId="3" fontId="1" fillId="4" borderId="0" xfId="0" applyNumberFormat="1" applyFont="1" applyFill="1" applyAlignment="1">
      <alignment horizontal="left"/>
    </xf>
    <xf numFmtId="9" fontId="1" fillId="4" borderId="0" xfId="0" applyNumberFormat="1" applyFont="1" applyFill="1" applyAlignment="1">
      <alignment horizontal="left"/>
    </xf>
    <xf numFmtId="0" fontId="5" fillId="4" borderId="1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" fontId="1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8" fillId="4" borderId="0" xfId="0" applyFont="1" applyFill="1"/>
    <xf numFmtId="3" fontId="1" fillId="4" borderId="0" xfId="0" applyNumberFormat="1" applyFont="1" applyFill="1"/>
    <xf numFmtId="3" fontId="1" fillId="4" borderId="0" xfId="0" applyNumberFormat="1" applyFont="1" applyFill="1" applyAlignment="1">
      <alignment horizontal="right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166" fontId="2" fillId="4" borderId="2" xfId="1" applyNumberFormat="1" applyFont="1" applyFill="1" applyBorder="1" applyAlignment="1">
      <alignment vertical="top"/>
    </xf>
    <xf numFmtId="166" fontId="1" fillId="4" borderId="2" xfId="1" applyNumberFormat="1" applyFont="1" applyFill="1" applyBorder="1" applyAlignment="1">
      <alignment vertical="top"/>
    </xf>
    <xf numFmtId="166" fontId="2" fillId="4" borderId="2" xfId="1" applyNumberFormat="1" applyFont="1" applyFill="1" applyBorder="1" applyAlignment="1">
      <alignment horizontal="right" vertical="top" indent="1"/>
    </xf>
    <xf numFmtId="3" fontId="2" fillId="4" borderId="2" xfId="0" applyNumberFormat="1" applyFont="1" applyFill="1" applyBorder="1" applyAlignment="1">
      <alignment horizontal="right" vertical="top"/>
    </xf>
    <xf numFmtId="3" fontId="2" fillId="4" borderId="2" xfId="0" applyNumberFormat="1" applyFont="1" applyFill="1" applyBorder="1" applyAlignment="1">
      <alignment horizontal="right" vertical="top" indent="1"/>
    </xf>
    <xf numFmtId="10" fontId="2" fillId="4" borderId="12" xfId="0" applyNumberFormat="1" applyFont="1" applyFill="1" applyBorder="1" applyAlignment="1">
      <alignment horizontal="center" vertical="top"/>
    </xf>
    <xf numFmtId="3" fontId="1" fillId="4" borderId="12" xfId="0" applyNumberFormat="1" applyFont="1" applyFill="1" applyBorder="1" applyAlignment="1">
      <alignment horizontal="right" vertical="top"/>
    </xf>
    <xf numFmtId="10" fontId="1" fillId="4" borderId="2" xfId="0" applyNumberFormat="1" applyFont="1" applyFill="1" applyBorder="1" applyAlignment="1">
      <alignment horizontal="center" vertical="top"/>
    </xf>
    <xf numFmtId="3" fontId="1" fillId="4" borderId="15" xfId="0" applyNumberFormat="1" applyFont="1" applyFill="1" applyBorder="1" applyAlignment="1">
      <alignment horizontal="right" vertical="top"/>
    </xf>
    <xf numFmtId="10" fontId="1" fillId="4" borderId="16" xfId="0" applyNumberFormat="1" applyFont="1" applyFill="1" applyBorder="1" applyAlignment="1">
      <alignment horizontal="center" vertical="top"/>
    </xf>
    <xf numFmtId="0" fontId="1" fillId="0" borderId="0" xfId="2" applyFont="1"/>
    <xf numFmtId="0" fontId="5" fillId="0" borderId="0" xfId="2" applyFont="1"/>
    <xf numFmtId="0" fontId="1" fillId="0" borderId="0" xfId="2" applyFont="1" applyAlignment="1"/>
    <xf numFmtId="0" fontId="24" fillId="0" borderId="0" xfId="2"/>
    <xf numFmtId="0" fontId="1" fillId="0" borderId="1" xfId="2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top"/>
    </xf>
    <xf numFmtId="3" fontId="1" fillId="0" borderId="25" xfId="2" applyNumberFormat="1" applyFont="1" applyBorder="1" applyAlignment="1">
      <alignment horizontal="center" vertical="center"/>
    </xf>
    <xf numFmtId="3" fontId="1" fillId="0" borderId="2" xfId="2" applyNumberFormat="1" applyFont="1" applyBorder="1" applyAlignment="1">
      <alignment horizontal="center" vertical="top"/>
    </xf>
    <xf numFmtId="3" fontId="1" fillId="0" borderId="2" xfId="2" applyNumberFormat="1" applyFont="1" applyBorder="1" applyAlignment="1">
      <alignment horizontal="center" vertical="center"/>
    </xf>
    <xf numFmtId="3" fontId="1" fillId="0" borderId="23" xfId="2" applyNumberFormat="1" applyFont="1" applyBorder="1" applyAlignment="1">
      <alignment horizontal="center" vertical="center"/>
    </xf>
    <xf numFmtId="3" fontId="1" fillId="0" borderId="15" xfId="2" applyNumberFormat="1" applyFont="1" applyBorder="1" applyAlignment="1">
      <alignment horizontal="center" vertical="top"/>
    </xf>
    <xf numFmtId="3" fontId="1" fillId="0" borderId="15" xfId="2" applyNumberFormat="1" applyFont="1" applyBorder="1" applyAlignment="1">
      <alignment horizontal="center" vertical="center"/>
    </xf>
    <xf numFmtId="3" fontId="1" fillId="0" borderId="27" xfId="2" applyNumberFormat="1" applyFont="1" applyBorder="1" applyAlignment="1">
      <alignment horizontal="center" vertical="center"/>
    </xf>
    <xf numFmtId="3" fontId="1" fillId="0" borderId="26" xfId="2" applyNumberFormat="1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top" wrapText="1"/>
    </xf>
    <xf numFmtId="0" fontId="1" fillId="0" borderId="30" xfId="2" applyFont="1" applyBorder="1" applyAlignment="1">
      <alignment horizontal="center" vertical="top"/>
    </xf>
    <xf numFmtId="0" fontId="1" fillId="0" borderId="30" xfId="2" applyFont="1" applyBorder="1" applyAlignment="1">
      <alignment horizontal="left" vertical="top"/>
    </xf>
    <xf numFmtId="0" fontId="1" fillId="0" borderId="30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left" vertical="top" indent="2"/>
    </xf>
    <xf numFmtId="0" fontId="1" fillId="0" borderId="31" xfId="2" applyFont="1" applyBorder="1" applyAlignment="1">
      <alignment horizontal="left" vertical="top"/>
    </xf>
    <xf numFmtId="2" fontId="1" fillId="0" borderId="14" xfId="2" applyNumberFormat="1" applyFont="1" applyBorder="1" applyAlignment="1">
      <alignment horizontal="left" vertical="center" wrapText="1"/>
    </xf>
    <xf numFmtId="2" fontId="1" fillId="0" borderId="14" xfId="2" applyNumberFormat="1" applyFont="1" applyBorder="1" applyAlignment="1">
      <alignment horizontal="left" vertical="center" wrapText="1" indent="2"/>
    </xf>
    <xf numFmtId="2" fontId="1" fillId="0" borderId="17" xfId="2" applyNumberFormat="1" applyFont="1" applyBorder="1" applyAlignment="1">
      <alignment horizontal="left" vertical="center" wrapText="1"/>
    </xf>
    <xf numFmtId="0" fontId="12" fillId="0" borderId="0" xfId="2" applyFont="1"/>
    <xf numFmtId="0" fontId="13" fillId="0" borderId="0" xfId="2" applyFont="1"/>
    <xf numFmtId="0" fontId="9" fillId="0" borderId="0" xfId="2" applyFont="1"/>
    <xf numFmtId="0" fontId="12" fillId="0" borderId="2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center" vertical="top"/>
    </xf>
    <xf numFmtId="0" fontId="12" fillId="0" borderId="2" xfId="2" applyFont="1" applyBorder="1" applyAlignment="1">
      <alignment horizontal="center" vertical="top" wrapText="1"/>
    </xf>
    <xf numFmtId="0" fontId="12" fillId="0" borderId="15" xfId="2" applyFont="1" applyBorder="1" applyAlignment="1">
      <alignment horizontal="center" vertical="top"/>
    </xf>
    <xf numFmtId="0" fontId="12" fillId="0" borderId="27" xfId="2" applyFont="1" applyBorder="1" applyAlignment="1">
      <alignment horizontal="center" vertical="top"/>
    </xf>
    <xf numFmtId="0" fontId="12" fillId="0" borderId="2" xfId="2" applyFont="1" applyBorder="1" applyAlignment="1">
      <alignment horizontal="left" vertical="top"/>
    </xf>
    <xf numFmtId="164" fontId="12" fillId="0" borderId="2" xfId="1" applyNumberFormat="1" applyFont="1" applyBorder="1" applyAlignment="1">
      <alignment horizontal="left" vertical="top"/>
    </xf>
    <xf numFmtId="0" fontId="12" fillId="0" borderId="14" xfId="2" applyFont="1" applyBorder="1" applyAlignment="1">
      <alignment horizontal="center" vertical="top"/>
    </xf>
    <xf numFmtId="0" fontId="12" fillId="0" borderId="2" xfId="2" applyFont="1" applyBorder="1" applyAlignment="1">
      <alignment vertical="top"/>
    </xf>
    <xf numFmtId="0" fontId="12" fillId="0" borderId="0" xfId="2" applyFont="1" applyAlignment="1"/>
    <xf numFmtId="0" fontId="12" fillId="0" borderId="15" xfId="2" applyFont="1" applyBorder="1" applyAlignment="1">
      <alignment vertical="top"/>
    </xf>
    <xf numFmtId="0" fontId="12" fillId="0" borderId="0" xfId="0" applyFont="1" applyAlignment="1"/>
    <xf numFmtId="0" fontId="12" fillId="0" borderId="0" xfId="0" applyFont="1" applyBorder="1" applyAlignment="1"/>
    <xf numFmtId="164" fontId="12" fillId="0" borderId="2" xfId="1" applyNumberFormat="1" applyFont="1" applyBorder="1" applyAlignment="1">
      <alignment vertical="top"/>
    </xf>
    <xf numFmtId="1" fontId="12" fillId="0" borderId="0" xfId="2" applyNumberFormat="1" applyFont="1"/>
    <xf numFmtId="1" fontId="12" fillId="0" borderId="0" xfId="2" applyNumberFormat="1" applyFont="1" applyAlignment="1">
      <alignment horizontal="center"/>
    </xf>
    <xf numFmtId="1" fontId="12" fillId="0" borderId="15" xfId="2" applyNumberFormat="1" applyFont="1" applyBorder="1" applyAlignment="1">
      <alignment horizontal="center" vertical="top"/>
    </xf>
    <xf numFmtId="1" fontId="12" fillId="0" borderId="0" xfId="0" applyNumberFormat="1" applyFont="1"/>
    <xf numFmtId="1" fontId="1" fillId="0" borderId="0" xfId="0" applyNumberFormat="1" applyFont="1" applyAlignment="1"/>
    <xf numFmtId="1" fontId="12" fillId="0" borderId="0" xfId="0" applyNumberFormat="1" applyFont="1" applyBorder="1"/>
    <xf numFmtId="0" fontId="12" fillId="0" borderId="23" xfId="2" applyFont="1" applyBorder="1" applyAlignment="1">
      <alignment horizontal="center" vertical="top" wrapText="1"/>
    </xf>
    <xf numFmtId="164" fontId="12" fillId="0" borderId="14" xfId="1" applyNumberFormat="1" applyFont="1" applyBorder="1" applyAlignment="1">
      <alignment horizontal="center" vertical="top"/>
    </xf>
    <xf numFmtId="164" fontId="12" fillId="0" borderId="14" xfId="1" applyNumberFormat="1" applyFont="1" applyBorder="1" applyAlignment="1">
      <alignment horizontal="left" vertical="top"/>
    </xf>
    <xf numFmtId="0" fontId="2" fillId="4" borderId="19" xfId="0" applyFont="1" applyFill="1" applyBorder="1" applyAlignment="1">
      <alignment horizontal="center" vertical="top"/>
    </xf>
    <xf numFmtId="167" fontId="1" fillId="4" borderId="1" xfId="1" applyNumberFormat="1" applyFont="1" applyFill="1" applyBorder="1" applyAlignment="1">
      <alignment vertical="top"/>
    </xf>
    <xf numFmtId="0" fontId="17" fillId="4" borderId="1" xfId="0" applyFont="1" applyFill="1" applyBorder="1" applyAlignment="1">
      <alignment horizontal="center" vertical="top"/>
    </xf>
    <xf numFmtId="49" fontId="17" fillId="4" borderId="1" xfId="0" applyNumberFormat="1" applyFont="1" applyFill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 indent="1"/>
    </xf>
    <xf numFmtId="167" fontId="17" fillId="4" borderId="1" xfId="1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left" vertical="top"/>
    </xf>
    <xf numFmtId="167" fontId="14" fillId="4" borderId="1" xfId="1" applyNumberFormat="1" applyFont="1" applyFill="1" applyBorder="1" applyAlignment="1">
      <alignment vertical="top"/>
    </xf>
    <xf numFmtId="167" fontId="12" fillId="4" borderId="1" xfId="1" applyNumberFormat="1" applyFont="1" applyFill="1" applyBorder="1" applyAlignment="1"/>
    <xf numFmtId="167" fontId="14" fillId="4" borderId="1" xfId="1" applyNumberFormat="1" applyFont="1" applyFill="1" applyBorder="1" applyAlignment="1"/>
    <xf numFmtId="167" fontId="14" fillId="4" borderId="28" xfId="1" applyNumberFormat="1" applyFont="1" applyFill="1" applyBorder="1" applyAlignment="1"/>
    <xf numFmtId="0" fontId="6" fillId="4" borderId="1" xfId="0" applyFont="1" applyFill="1" applyBorder="1" applyAlignment="1">
      <alignment horizontal="left" vertical="top" indent="1"/>
    </xf>
    <xf numFmtId="167" fontId="12" fillId="4" borderId="0" xfId="1" applyNumberFormat="1" applyFont="1" applyFill="1" applyBorder="1" applyAlignment="1"/>
    <xf numFmtId="167" fontId="12" fillId="4" borderId="28" xfId="1" applyNumberFormat="1" applyFont="1" applyFill="1" applyBorder="1" applyAlignment="1"/>
    <xf numFmtId="0" fontId="14" fillId="4" borderId="1" xfId="0" applyFont="1" applyFill="1" applyBorder="1" applyAlignment="1">
      <alignment horizontal="left" vertical="top" indent="1"/>
    </xf>
    <xf numFmtId="49" fontId="1" fillId="4" borderId="1" xfId="0" applyNumberFormat="1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 indent="1"/>
    </xf>
    <xf numFmtId="0" fontId="9" fillId="4" borderId="1" xfId="0" applyFont="1" applyFill="1" applyBorder="1" applyAlignment="1">
      <alignment horizontal="left" vertical="top" indent="1"/>
    </xf>
    <xf numFmtId="49" fontId="6" fillId="4" borderId="1" xfId="0" applyNumberFormat="1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/>
    </xf>
    <xf numFmtId="1" fontId="17" fillId="4" borderId="1" xfId="0" applyNumberFormat="1" applyFont="1" applyFill="1" applyBorder="1" applyAlignment="1">
      <alignment horizontal="center" vertical="center"/>
    </xf>
    <xf numFmtId="167" fontId="17" fillId="4" borderId="1" xfId="1" applyNumberFormat="1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/>
    </xf>
    <xf numFmtId="167" fontId="2" fillId="4" borderId="1" xfId="1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horizontal="center" vertical="center"/>
    </xf>
    <xf numFmtId="167" fontId="25" fillId="4" borderId="1" xfId="1" applyNumberFormat="1" applyFont="1" applyFill="1" applyBorder="1" applyAlignment="1">
      <alignment vertical="center"/>
    </xf>
    <xf numFmtId="167" fontId="9" fillId="4" borderId="1" xfId="1" applyNumberFormat="1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horizontal="left" vertical="top" wrapText="1"/>
    </xf>
    <xf numFmtId="167" fontId="9" fillId="4" borderId="1" xfId="1" applyNumberFormat="1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left" vertical="center" wrapText="1" shrinkToFit="1"/>
    </xf>
    <xf numFmtId="167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0" applyFont="1" applyFill="1" applyBorder="1" applyAlignment="1">
      <alignment horizontal="left" vertical="center" wrapText="1"/>
    </xf>
    <xf numFmtId="167" fontId="9" fillId="4" borderId="2" xfId="1" applyNumberFormat="1" applyFont="1" applyFill="1" applyBorder="1" applyAlignment="1"/>
    <xf numFmtId="167" fontId="9" fillId="4" borderId="1" xfId="1" applyNumberFormat="1" applyFont="1" applyFill="1" applyBorder="1" applyAlignment="1" applyProtection="1">
      <alignment vertical="justify" wrapText="1"/>
      <protection locked="0"/>
    </xf>
    <xf numFmtId="49" fontId="1" fillId="4" borderId="1" xfId="0" applyNumberFormat="1" applyFont="1" applyFill="1" applyBorder="1" applyAlignment="1">
      <alignment horizontal="left" vertical="top" wrapText="1"/>
    </xf>
    <xf numFmtId="1" fontId="25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top" wrapText="1"/>
    </xf>
    <xf numFmtId="3" fontId="9" fillId="4" borderId="1" xfId="0" applyNumberFormat="1" applyFont="1" applyFill="1" applyBorder="1" applyAlignment="1">
      <alignment horizontal="left" vertical="center" wrapText="1"/>
    </xf>
    <xf numFmtId="167" fontId="9" fillId="4" borderId="1" xfId="1" applyNumberFormat="1" applyFont="1" applyFill="1" applyBorder="1" applyAlignment="1" applyProtection="1">
      <alignment vertical="top" wrapText="1"/>
      <protection locked="0"/>
    </xf>
    <xf numFmtId="0" fontId="9" fillId="4" borderId="2" xfId="0" applyFont="1" applyFill="1" applyBorder="1" applyAlignment="1">
      <alignment horizontal="left" vertical="center" wrapText="1"/>
    </xf>
    <xf numFmtId="1" fontId="9" fillId="4" borderId="20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1" fontId="12" fillId="4" borderId="1" xfId="0" applyNumberFormat="1" applyFont="1" applyFill="1" applyBorder="1" applyAlignment="1">
      <alignment horizontal="center" vertical="center"/>
    </xf>
    <xf numFmtId="167" fontId="12" fillId="4" borderId="18" xfId="1" applyNumberFormat="1" applyFont="1" applyFill="1" applyBorder="1" applyAlignment="1">
      <alignment vertical="center" wrapText="1"/>
    </xf>
    <xf numFmtId="167" fontId="12" fillId="4" borderId="1" xfId="1" applyNumberFormat="1" applyFont="1" applyFill="1" applyBorder="1" applyAlignment="1">
      <alignment vertical="center"/>
    </xf>
    <xf numFmtId="167" fontId="12" fillId="4" borderId="1" xfId="1" applyNumberFormat="1" applyFont="1" applyFill="1" applyBorder="1" applyAlignment="1">
      <alignment vertical="center" wrapText="1"/>
    </xf>
    <xf numFmtId="0" fontId="12" fillId="4" borderId="32" xfId="0" applyFont="1" applyFill="1" applyBorder="1" applyAlignment="1">
      <alignment horizontal="left" vertical="center" wrapText="1"/>
    </xf>
    <xf numFmtId="167" fontId="12" fillId="4" borderId="1" xfId="1" applyNumberFormat="1" applyFont="1" applyFill="1" applyBorder="1" applyAlignment="1" applyProtection="1">
      <alignment vertical="top" wrapText="1"/>
      <protection locked="0"/>
    </xf>
    <xf numFmtId="167" fontId="12" fillId="4" borderId="1" xfId="1" applyNumberFormat="1" applyFont="1" applyFill="1" applyBorder="1" applyAlignment="1" applyProtection="1">
      <alignment vertical="center" wrapText="1"/>
      <protection locked="0"/>
    </xf>
    <xf numFmtId="165" fontId="17" fillId="4" borderId="1" xfId="1" applyFont="1" applyFill="1" applyBorder="1" applyAlignment="1">
      <alignment horizontal="left" vertical="top"/>
    </xf>
    <xf numFmtId="165" fontId="17" fillId="4" borderId="1" xfId="1" applyFont="1" applyFill="1" applyBorder="1" applyAlignment="1">
      <alignment horizontal="left" vertical="top" indent="1"/>
    </xf>
    <xf numFmtId="167" fontId="9" fillId="4" borderId="1" xfId="1" applyNumberFormat="1" applyFont="1" applyFill="1" applyBorder="1" applyAlignment="1">
      <alignment vertical="top"/>
    </xf>
    <xf numFmtId="0" fontId="3" fillId="4" borderId="0" xfId="0" applyFont="1" applyFill="1"/>
    <xf numFmtId="0" fontId="2" fillId="0" borderId="1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3" fontId="12" fillId="0" borderId="2" xfId="1" applyNumberFormat="1" applyFont="1" applyBorder="1" applyAlignment="1">
      <alignment vertical="top"/>
    </xf>
    <xf numFmtId="3" fontId="12" fillId="0" borderId="2" xfId="2" applyNumberFormat="1" applyFont="1" applyBorder="1" applyAlignment="1">
      <alignment vertical="top"/>
    </xf>
    <xf numFmtId="3" fontId="12" fillId="0" borderId="23" xfId="2" applyNumberFormat="1" applyFont="1" applyBorder="1" applyAlignment="1">
      <alignment vertical="top"/>
    </xf>
    <xf numFmtId="3" fontId="12" fillId="0" borderId="23" xfId="1" applyNumberFormat="1" applyFont="1" applyBorder="1" applyAlignment="1">
      <alignment vertical="top"/>
    </xf>
    <xf numFmtId="3" fontId="12" fillId="0" borderId="15" xfId="2" applyNumberFormat="1" applyFont="1" applyBorder="1" applyAlignment="1">
      <alignment vertical="top"/>
    </xf>
    <xf numFmtId="3" fontId="12" fillId="0" borderId="15" xfId="1" applyNumberFormat="1" applyFont="1" applyBorder="1" applyAlignment="1">
      <alignment vertical="top"/>
    </xf>
    <xf numFmtId="3" fontId="12" fillId="0" borderId="27" xfId="1" applyNumberFormat="1" applyFont="1" applyBorder="1" applyAlignment="1">
      <alignment vertical="top"/>
    </xf>
    <xf numFmtId="166" fontId="2" fillId="0" borderId="2" xfId="1" applyNumberFormat="1" applyFont="1" applyFill="1" applyBorder="1" applyAlignment="1">
      <alignment vertical="top"/>
    </xf>
    <xf numFmtId="1" fontId="1" fillId="0" borderId="2" xfId="1" applyNumberFormat="1" applyFont="1" applyFill="1" applyBorder="1" applyAlignment="1">
      <alignment vertical="top"/>
    </xf>
    <xf numFmtId="166" fontId="2" fillId="0" borderId="2" xfId="1" applyNumberFormat="1" applyFont="1" applyFill="1" applyBorder="1" applyAlignment="1">
      <alignment horizontal="right" vertical="top"/>
    </xf>
    <xf numFmtId="166" fontId="2" fillId="0" borderId="2" xfId="1" applyNumberFormat="1" applyFont="1" applyFill="1" applyBorder="1" applyAlignment="1">
      <alignment horizontal="right" vertical="top" indent="1"/>
    </xf>
    <xf numFmtId="168" fontId="1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168" fontId="2" fillId="0" borderId="1" xfId="0" applyNumberFormat="1" applyFont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3" fontId="2" fillId="4" borderId="0" xfId="0" applyNumberFormat="1" applyFont="1" applyFill="1"/>
    <xf numFmtId="0" fontId="1" fillId="0" borderId="0" xfId="0" applyFont="1" applyFill="1" applyBorder="1" applyAlignment="1">
      <alignment horizontal="left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10" fontId="1" fillId="0" borderId="5" xfId="0" applyNumberFormat="1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center" vertical="top"/>
    </xf>
    <xf numFmtId="0" fontId="1" fillId="0" borderId="34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2" fillId="4" borderId="19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center" vertical="top"/>
    </xf>
    <xf numFmtId="0" fontId="1" fillId="4" borderId="20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1" fillId="4" borderId="19" xfId="0" applyFont="1" applyFill="1" applyBorder="1" applyAlignment="1">
      <alignment horizontal="justify" vertical="top"/>
    </xf>
    <xf numFmtId="0" fontId="1" fillId="4" borderId="20" xfId="0" applyFont="1" applyFill="1" applyBorder="1" applyAlignment="1">
      <alignment horizontal="justify" vertical="top"/>
    </xf>
    <xf numFmtId="0" fontId="1" fillId="4" borderId="19" xfId="0" applyFont="1" applyFill="1" applyBorder="1" applyAlignment="1">
      <alignment horizontal="left" vertical="top" indent="14"/>
    </xf>
    <xf numFmtId="0" fontId="1" fillId="4" borderId="20" xfId="0" applyFont="1" applyFill="1" applyBorder="1" applyAlignment="1">
      <alignment horizontal="left" vertical="top" indent="14"/>
    </xf>
    <xf numFmtId="0" fontId="1" fillId="4" borderId="19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justify" vertical="top" wrapText="1"/>
    </xf>
    <xf numFmtId="0" fontId="1" fillId="4" borderId="20" xfId="0" applyFont="1" applyFill="1" applyBorder="1" applyAlignment="1">
      <alignment horizontal="justify" vertical="top" wrapText="1"/>
    </xf>
    <xf numFmtId="0" fontId="2" fillId="4" borderId="19" xfId="0" applyFont="1" applyFill="1" applyBorder="1" applyAlignment="1">
      <alignment horizontal="justify" vertical="top" wrapText="1"/>
    </xf>
    <xf numFmtId="0" fontId="2" fillId="4" borderId="20" xfId="0" applyFont="1" applyFill="1" applyBorder="1" applyAlignment="1">
      <alignment horizontal="justify" vertical="top" wrapText="1"/>
    </xf>
    <xf numFmtId="0" fontId="1" fillId="4" borderId="5" xfId="0" applyFont="1" applyFill="1" applyBorder="1" applyAlignment="1">
      <alignment horizontal="left" vertical="top"/>
    </xf>
    <xf numFmtId="0" fontId="1" fillId="4" borderId="18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indent="1"/>
    </xf>
    <xf numFmtId="0" fontId="1" fillId="4" borderId="6" xfId="0" applyFont="1" applyFill="1" applyBorder="1" applyAlignment="1">
      <alignment horizontal="left" vertical="top" indent="1"/>
    </xf>
    <xf numFmtId="0" fontId="1" fillId="4" borderId="18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left" vertical="top" indent="1"/>
    </xf>
    <xf numFmtId="0" fontId="1" fillId="4" borderId="19" xfId="0" applyFont="1" applyFill="1" applyBorder="1" applyAlignment="1">
      <alignment horizontal="left" vertical="top" indent="2"/>
    </xf>
    <xf numFmtId="0" fontId="1" fillId="4" borderId="20" xfId="0" applyFont="1" applyFill="1" applyBorder="1" applyAlignment="1">
      <alignment horizontal="left" vertical="top" indent="2"/>
    </xf>
    <xf numFmtId="0" fontId="1" fillId="4" borderId="19" xfId="0" applyFont="1" applyFill="1" applyBorder="1" applyAlignment="1">
      <alignment horizontal="right" vertical="center" wrapText="1"/>
    </xf>
    <xf numFmtId="0" fontId="1" fillId="4" borderId="20" xfId="0" applyFont="1" applyFill="1" applyBorder="1" applyAlignment="1">
      <alignment horizontal="righ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33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 indent="1"/>
    </xf>
    <xf numFmtId="0" fontId="9" fillId="0" borderId="18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9" fillId="0" borderId="5" xfId="0" applyFont="1" applyBorder="1" applyAlignment="1">
      <alignment horizontal="justify" vertical="top" wrapText="1"/>
    </xf>
    <xf numFmtId="0" fontId="9" fillId="0" borderId="18" xfId="0" applyFont="1" applyBorder="1" applyAlignment="1">
      <alignment horizontal="justify" vertical="top" wrapText="1"/>
    </xf>
    <xf numFmtId="0" fontId="9" fillId="0" borderId="19" xfId="0" applyFont="1" applyBorder="1" applyAlignment="1">
      <alignment horizontal="left" vertical="top" wrapText="1" indent="1"/>
    </xf>
    <xf numFmtId="0" fontId="9" fillId="0" borderId="20" xfId="0" applyFont="1" applyBorder="1" applyAlignment="1">
      <alignment horizontal="left" vertical="top" wrapText="1" indent="1"/>
    </xf>
    <xf numFmtId="0" fontId="1" fillId="0" borderId="0" xfId="2" applyFont="1" applyAlignment="1">
      <alignment horizontal="left"/>
    </xf>
    <xf numFmtId="0" fontId="1" fillId="0" borderId="5" xfId="2" applyFont="1" applyBorder="1" applyAlignment="1">
      <alignment horizontal="center"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18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/>
    </xf>
    <xf numFmtId="0" fontId="1" fillId="0" borderId="6" xfId="2" applyFont="1" applyBorder="1" applyAlignment="1">
      <alignment horizontal="center" vertical="top"/>
    </xf>
    <xf numFmtId="0" fontId="1" fillId="0" borderId="18" xfId="2" applyFont="1" applyBorder="1" applyAlignment="1">
      <alignment horizontal="center" vertical="top"/>
    </xf>
    <xf numFmtId="0" fontId="1" fillId="0" borderId="19" xfId="2" applyFont="1" applyBorder="1" applyAlignment="1">
      <alignment horizontal="center" vertical="top"/>
    </xf>
    <xf numFmtId="0" fontId="1" fillId="0" borderId="33" xfId="2" applyFont="1" applyBorder="1" applyAlignment="1">
      <alignment horizontal="center" vertical="top"/>
    </xf>
    <xf numFmtId="0" fontId="1" fillId="0" borderId="20" xfId="2" applyFont="1" applyBorder="1" applyAlignment="1">
      <alignment horizontal="center" vertical="top"/>
    </xf>
    <xf numFmtId="0" fontId="1" fillId="0" borderId="5" xfId="2" applyFont="1" applyBorder="1" applyAlignment="1">
      <alignment horizontal="left" vertical="top" wrapText="1" indent="1"/>
    </xf>
    <xf numFmtId="0" fontId="1" fillId="0" borderId="6" xfId="2" applyFont="1" applyBorder="1" applyAlignment="1">
      <alignment horizontal="left" vertical="top" wrapText="1" indent="1"/>
    </xf>
    <xf numFmtId="0" fontId="1" fillId="0" borderId="18" xfId="2" applyFont="1" applyBorder="1" applyAlignment="1">
      <alignment horizontal="left" vertical="top" wrapText="1" indent="1"/>
    </xf>
    <xf numFmtId="0" fontId="1" fillId="0" borderId="5" xfId="2" applyFont="1" applyBorder="1" applyAlignment="1">
      <alignment horizontal="justify" vertical="top" wrapText="1"/>
    </xf>
    <xf numFmtId="0" fontId="1" fillId="0" borderId="6" xfId="2" applyFont="1" applyBorder="1" applyAlignment="1">
      <alignment horizontal="justify" vertical="top" wrapText="1"/>
    </xf>
    <xf numFmtId="0" fontId="1" fillId="0" borderId="18" xfId="2" applyFont="1" applyBorder="1" applyAlignment="1">
      <alignment horizontal="justify" vertical="top" wrapText="1"/>
    </xf>
    <xf numFmtId="3" fontId="12" fillId="0" borderId="17" xfId="2" applyNumberFormat="1" applyFont="1" applyBorder="1" applyAlignment="1">
      <alignment horizontal="center" vertical="top" wrapText="1"/>
    </xf>
    <xf numFmtId="3" fontId="12" fillId="0" borderId="15" xfId="2" applyNumberFormat="1" applyFont="1" applyBorder="1" applyAlignment="1">
      <alignment horizontal="center" vertical="top" wrapText="1"/>
    </xf>
    <xf numFmtId="0" fontId="12" fillId="0" borderId="25" xfId="2" applyFont="1" applyBorder="1" applyAlignment="1">
      <alignment horizontal="center" vertical="top"/>
    </xf>
    <xf numFmtId="0" fontId="12" fillId="0" borderId="38" xfId="2" applyFont="1" applyBorder="1" applyAlignment="1">
      <alignment vertical="top"/>
    </xf>
    <xf numFmtId="0" fontId="12" fillId="0" borderId="39" xfId="2" applyFont="1" applyBorder="1" applyAlignment="1">
      <alignment vertical="top"/>
    </xf>
    <xf numFmtId="0" fontId="12" fillId="0" borderId="40" xfId="2" applyFont="1" applyBorder="1" applyAlignment="1">
      <alignment vertical="top"/>
    </xf>
    <xf numFmtId="0" fontId="12" fillId="0" borderId="17" xfId="2" applyFont="1" applyBorder="1" applyAlignment="1">
      <alignment horizontal="center" vertical="top"/>
    </xf>
    <xf numFmtId="0" fontId="12" fillId="0" borderId="15" xfId="2" applyFont="1" applyBorder="1" applyAlignment="1">
      <alignment horizontal="center" vertical="top"/>
    </xf>
    <xf numFmtId="0" fontId="12" fillId="0" borderId="13" xfId="2" applyFont="1" applyBorder="1" applyAlignment="1">
      <alignment horizontal="left" vertical="top"/>
    </xf>
    <xf numFmtId="0" fontId="12" fillId="0" borderId="12" xfId="2" applyFont="1" applyBorder="1" applyAlignment="1">
      <alignment horizontal="left" vertical="top"/>
    </xf>
    <xf numFmtId="0" fontId="12" fillId="0" borderId="22" xfId="2" applyFont="1" applyBorder="1" applyAlignment="1">
      <alignment horizontal="left" vertical="top"/>
    </xf>
    <xf numFmtId="2" fontId="12" fillId="0" borderId="7" xfId="2" applyNumberFormat="1" applyFont="1" applyBorder="1" applyAlignment="1">
      <alignment horizontal="center" vertical="center" wrapText="1"/>
    </xf>
    <xf numFmtId="2" fontId="12" fillId="0" borderId="35" xfId="2" applyNumberFormat="1" applyFont="1" applyBorder="1" applyAlignment="1">
      <alignment horizontal="center" vertical="center" wrapText="1"/>
    </xf>
    <xf numFmtId="2" fontId="12" fillId="0" borderId="32" xfId="2" applyNumberFormat="1" applyFont="1" applyBorder="1" applyAlignment="1">
      <alignment horizontal="center" vertical="center" wrapText="1"/>
    </xf>
    <xf numFmtId="2" fontId="12" fillId="0" borderId="36" xfId="2" applyNumberFormat="1" applyFont="1" applyBorder="1" applyAlignment="1">
      <alignment horizontal="center" vertical="center" wrapText="1"/>
    </xf>
    <xf numFmtId="1" fontId="12" fillId="0" borderId="37" xfId="2" applyNumberFormat="1" applyFont="1" applyBorder="1" applyAlignment="1">
      <alignment horizontal="center" vertical="top" wrapText="1"/>
    </xf>
    <xf numFmtId="1" fontId="12" fillId="0" borderId="12" xfId="2" applyNumberFormat="1" applyFont="1" applyBorder="1" applyAlignment="1">
      <alignment horizontal="center" vertical="top" wrapText="1"/>
    </xf>
    <xf numFmtId="0" fontId="12" fillId="0" borderId="25" xfId="2" applyFont="1" applyBorder="1" applyAlignment="1">
      <alignment vertical="top" wrapText="1"/>
    </xf>
    <xf numFmtId="0" fontId="12" fillId="0" borderId="2" xfId="2" applyFont="1" applyBorder="1" applyAlignment="1">
      <alignment vertical="top" wrapText="1"/>
    </xf>
    <xf numFmtId="0" fontId="12" fillId="0" borderId="25" xfId="2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8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indent="1"/>
    </xf>
    <xf numFmtId="0" fontId="1" fillId="0" borderId="20" xfId="0" applyFont="1" applyBorder="1" applyAlignment="1">
      <alignment horizontal="left" vertical="top" indent="1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justify" vertical="top" wrapText="1"/>
    </xf>
    <xf numFmtId="0" fontId="1" fillId="0" borderId="20" xfId="0" applyFont="1" applyBorder="1" applyAlignment="1">
      <alignment horizontal="justify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justify" vertical="top"/>
    </xf>
    <xf numFmtId="0" fontId="1" fillId="0" borderId="20" xfId="0" applyFont="1" applyBorder="1" applyAlignment="1">
      <alignment horizontal="justify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indent="1"/>
    </xf>
    <xf numFmtId="0" fontId="1" fillId="0" borderId="6" xfId="0" applyFont="1" applyBorder="1" applyAlignment="1">
      <alignment horizontal="left" vertical="top" indent="1"/>
    </xf>
    <xf numFmtId="0" fontId="1" fillId="0" borderId="19" xfId="0" applyFont="1" applyBorder="1" applyAlignment="1">
      <alignment horizontal="left" vertical="top" indent="14"/>
    </xf>
    <xf numFmtId="0" fontId="1" fillId="0" borderId="20" xfId="0" applyFont="1" applyBorder="1" applyAlignment="1">
      <alignment horizontal="left" vertical="top" indent="14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left" vertical="top" indent="2"/>
    </xf>
    <xf numFmtId="0" fontId="1" fillId="0" borderId="20" xfId="0" applyFont="1" applyBorder="1" applyAlignment="1">
      <alignment horizontal="left" vertical="top" indent="2"/>
    </xf>
    <xf numFmtId="0" fontId="1" fillId="0" borderId="18" xfId="0" applyFont="1" applyBorder="1" applyAlignment="1">
      <alignment horizontal="left" vertical="top" indent="1"/>
    </xf>
    <xf numFmtId="0" fontId="19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68"/>
  <sheetViews>
    <sheetView workbookViewId="0">
      <selection activeCell="K4" sqref="K4"/>
    </sheetView>
  </sheetViews>
  <sheetFormatPr defaultRowHeight="12.75"/>
  <cols>
    <col min="1" max="1" width="5" style="86" customWidth="1"/>
    <col min="2" max="2" width="2.28515625" style="1" customWidth="1"/>
    <col min="3" max="3" width="3" style="1" customWidth="1"/>
    <col min="4" max="4" width="7.85546875" style="1" customWidth="1"/>
    <col min="5" max="5" width="43.28515625" style="1" customWidth="1"/>
    <col min="6" max="6" width="3.7109375" style="86" customWidth="1"/>
    <col min="7" max="7" width="13.42578125" style="1" customWidth="1"/>
    <col min="8" max="8" width="13.140625" style="1" customWidth="1"/>
    <col min="9" max="9" width="8.28515625" style="48" customWidth="1"/>
    <col min="10" max="11" width="9.5703125" style="1" customWidth="1"/>
    <col min="12" max="12" width="8" style="86" customWidth="1"/>
    <col min="13" max="13" width="8.5703125" style="86" customWidth="1"/>
    <col min="14" max="16384" width="9.140625" style="1"/>
  </cols>
  <sheetData>
    <row r="2" spans="1:13">
      <c r="B2" s="452" t="s">
        <v>733</v>
      </c>
      <c r="C2" s="452"/>
      <c r="D2" s="452"/>
      <c r="E2" s="452"/>
    </row>
    <row r="3" spans="1:13">
      <c r="B3" s="452" t="s">
        <v>734</v>
      </c>
      <c r="C3" s="452"/>
      <c r="D3" s="452"/>
      <c r="E3" s="452"/>
      <c r="L3" s="51" t="s">
        <v>50</v>
      </c>
    </row>
    <row r="4" spans="1:13">
      <c r="B4" s="452" t="s">
        <v>735</v>
      </c>
      <c r="C4" s="452"/>
      <c r="D4" s="452"/>
      <c r="E4" s="452"/>
    </row>
    <row r="5" spans="1:13">
      <c r="B5" s="85"/>
      <c r="C5" s="85"/>
      <c r="D5" s="85"/>
      <c r="E5" s="453" t="s">
        <v>1</v>
      </c>
      <c r="F5" s="453"/>
      <c r="G5" s="453"/>
      <c r="H5" s="453"/>
      <c r="I5" s="453"/>
      <c r="J5" s="453"/>
      <c r="K5" s="453"/>
    </row>
    <row r="6" spans="1:13">
      <c r="B6" s="85"/>
      <c r="C6" s="85"/>
      <c r="D6" s="85"/>
      <c r="E6" s="453" t="s">
        <v>2</v>
      </c>
      <c r="F6" s="453"/>
      <c r="G6" s="453"/>
      <c r="H6" s="453"/>
      <c r="I6" s="453"/>
      <c r="J6" s="453"/>
    </row>
    <row r="7" spans="1:13" ht="13.5" thickBot="1">
      <c r="B7" s="85"/>
      <c r="C7" s="85"/>
      <c r="D7" s="85"/>
      <c r="E7" s="86"/>
      <c r="G7" s="86"/>
      <c r="H7" s="86"/>
      <c r="I7" s="86"/>
      <c r="J7" s="86"/>
      <c r="L7" s="86" t="s">
        <v>819</v>
      </c>
    </row>
    <row r="8" spans="1:13" s="31" customFormat="1" ht="13.5" thickBot="1">
      <c r="A8" s="454"/>
      <c r="B8" s="455"/>
      <c r="C8" s="456"/>
      <c r="D8" s="454" t="s">
        <v>60</v>
      </c>
      <c r="E8" s="456"/>
      <c r="F8" s="460" t="s">
        <v>252</v>
      </c>
      <c r="G8" s="460" t="s">
        <v>193</v>
      </c>
      <c r="H8" s="460" t="s">
        <v>194</v>
      </c>
      <c r="I8" s="466" t="s">
        <v>253</v>
      </c>
      <c r="J8" s="460" t="s">
        <v>196</v>
      </c>
      <c r="K8" s="460" t="s">
        <v>195</v>
      </c>
      <c r="L8" s="463" t="s">
        <v>253</v>
      </c>
      <c r="M8" s="464"/>
    </row>
    <row r="9" spans="1:13" s="31" customFormat="1" ht="51" customHeight="1" thickBot="1">
      <c r="A9" s="457"/>
      <c r="B9" s="458"/>
      <c r="C9" s="459"/>
      <c r="D9" s="457"/>
      <c r="E9" s="459"/>
      <c r="F9" s="461"/>
      <c r="G9" s="461"/>
      <c r="H9" s="461"/>
      <c r="I9" s="467"/>
      <c r="J9" s="461"/>
      <c r="K9" s="461"/>
      <c r="L9" s="30" t="s">
        <v>172</v>
      </c>
      <c r="M9" s="30" t="s">
        <v>173</v>
      </c>
    </row>
    <row r="10" spans="1:13" ht="13.5" thickBot="1">
      <c r="A10" s="3" t="s">
        <v>96</v>
      </c>
      <c r="B10" s="450" t="s">
        <v>3</v>
      </c>
      <c r="C10" s="451"/>
      <c r="D10" s="450" t="s">
        <v>71</v>
      </c>
      <c r="E10" s="451"/>
      <c r="F10" s="3">
        <v>3</v>
      </c>
      <c r="G10" s="3">
        <v>4</v>
      </c>
      <c r="H10" s="3">
        <v>5</v>
      </c>
      <c r="I10" s="24" t="s">
        <v>171</v>
      </c>
      <c r="J10" s="3" t="s">
        <v>4</v>
      </c>
      <c r="K10" s="3">
        <v>8</v>
      </c>
      <c r="L10" s="3" t="s">
        <v>92</v>
      </c>
      <c r="M10" s="3">
        <v>10</v>
      </c>
    </row>
    <row r="11" spans="1:13" s="47" customFormat="1">
      <c r="A11" s="56" t="s">
        <v>254</v>
      </c>
      <c r="B11" s="87"/>
      <c r="C11" s="87"/>
      <c r="D11" s="465" t="s">
        <v>255</v>
      </c>
      <c r="E11" s="465"/>
      <c r="F11" s="430">
        <v>1</v>
      </c>
      <c r="G11" s="112">
        <f>G12+G13+G14</f>
        <v>195302.86</v>
      </c>
      <c r="H11" s="112">
        <f>H12+H13+H14</f>
        <v>206719.78099999999</v>
      </c>
      <c r="I11" s="49">
        <f>H11/G11</f>
        <v>1.0584575207961624</v>
      </c>
      <c r="J11" s="112">
        <f>H11*1.03</f>
        <v>212921.37443</v>
      </c>
      <c r="K11" s="112">
        <f>J11*1.025</f>
        <v>218244.40879074996</v>
      </c>
      <c r="L11" s="149">
        <f>J11/H11</f>
        <v>1.03</v>
      </c>
      <c r="M11" s="150">
        <f>K11/J11</f>
        <v>1.0249999999999999</v>
      </c>
    </row>
    <row r="12" spans="1:13">
      <c r="A12" s="468"/>
      <c r="B12" s="89" t="s">
        <v>3</v>
      </c>
      <c r="C12" s="89"/>
      <c r="D12" s="469" t="s">
        <v>256</v>
      </c>
      <c r="E12" s="469"/>
      <c r="F12" s="431">
        <v>2</v>
      </c>
      <c r="G12" s="113">
        <f ca="1">('anexa 2intermediar'!H13)/1000</f>
        <v>194582.856</v>
      </c>
      <c r="H12" s="113">
        <v>206319.78099999999</v>
      </c>
      <c r="I12" s="50">
        <f>H12/G12</f>
        <v>1.0603183920786936</v>
      </c>
      <c r="J12" s="122">
        <f t="shared" ref="J12:J29" si="0">H12*1.03</f>
        <v>212509.37443</v>
      </c>
      <c r="K12" s="122">
        <f t="shared" ref="K12:K29" si="1">J12*1.025</f>
        <v>217822.10879074998</v>
      </c>
      <c r="L12" s="151">
        <f t="shared" ref="L12:L29" si="2">J12/H12</f>
        <v>1.03</v>
      </c>
      <c r="M12" s="152">
        <f t="shared" ref="M12:M29" si="3">K12/J12</f>
        <v>1.0249999999999999</v>
      </c>
    </row>
    <row r="13" spans="1:13">
      <c r="A13" s="468"/>
      <c r="B13" s="89" t="s">
        <v>71</v>
      </c>
      <c r="C13" s="89"/>
      <c r="D13" s="469" t="s">
        <v>257</v>
      </c>
      <c r="E13" s="469"/>
      <c r="F13" s="431">
        <v>3</v>
      </c>
      <c r="G13" s="113">
        <f ca="1">('anexa 2intermediar'!H34)/1000</f>
        <v>720.00400000000002</v>
      </c>
      <c r="H13" s="113">
        <v>400</v>
      </c>
      <c r="I13" s="50">
        <f>H13/G13</f>
        <v>0.55555246915294909</v>
      </c>
      <c r="J13" s="122">
        <f t="shared" si="0"/>
        <v>412</v>
      </c>
      <c r="K13" s="122">
        <f t="shared" si="1"/>
        <v>422.29999999999995</v>
      </c>
      <c r="L13" s="151">
        <f t="shared" si="2"/>
        <v>1.03</v>
      </c>
      <c r="M13" s="152">
        <f t="shared" si="3"/>
        <v>1.0249999999999999</v>
      </c>
    </row>
    <row r="14" spans="1:13">
      <c r="A14" s="468"/>
      <c r="B14" s="89" t="s">
        <v>65</v>
      </c>
      <c r="C14" s="89"/>
      <c r="D14" s="469" t="s">
        <v>258</v>
      </c>
      <c r="E14" s="469"/>
      <c r="F14" s="431">
        <v>4</v>
      </c>
      <c r="G14" s="113">
        <f ca="1">('anexa 2intermediar'!H40)/1000</f>
        <v>0</v>
      </c>
      <c r="H14" s="113">
        <v>0</v>
      </c>
      <c r="I14" s="84"/>
      <c r="J14" s="122">
        <f t="shared" si="0"/>
        <v>0</v>
      </c>
      <c r="K14" s="122">
        <f t="shared" si="1"/>
        <v>0</v>
      </c>
      <c r="L14" s="151"/>
      <c r="M14" s="152"/>
    </row>
    <row r="15" spans="1:13" s="47" customFormat="1">
      <c r="A15" s="57" t="s">
        <v>77</v>
      </c>
      <c r="B15" s="90"/>
      <c r="C15" s="90"/>
      <c r="D15" s="462" t="s">
        <v>200</v>
      </c>
      <c r="E15" s="462"/>
      <c r="F15" s="432">
        <v>5</v>
      </c>
      <c r="G15" s="114">
        <f ca="1">G16+G27+G28</f>
        <v>227112.606</v>
      </c>
      <c r="H15" s="114">
        <f ca="1">H16+H27+H28</f>
        <v>206670.71400000001</v>
      </c>
      <c r="I15" s="50">
        <f t="shared" ref="I15:I27" si="4">H15/G15</f>
        <v>0.90999226172412462</v>
      </c>
      <c r="J15" s="112">
        <f t="shared" si="0"/>
        <v>212870.83542000002</v>
      </c>
      <c r="K15" s="112">
        <f t="shared" si="1"/>
        <v>218192.6063055</v>
      </c>
      <c r="L15" s="151">
        <f t="shared" si="2"/>
        <v>1.03</v>
      </c>
      <c r="M15" s="152">
        <f t="shared" si="3"/>
        <v>1.0249999999999999</v>
      </c>
    </row>
    <row r="16" spans="1:13" ht="15" customHeight="1">
      <c r="A16" s="468"/>
      <c r="B16" s="89" t="s">
        <v>3</v>
      </c>
      <c r="C16" s="89"/>
      <c r="D16" s="469" t="s">
        <v>259</v>
      </c>
      <c r="E16" s="469"/>
      <c r="F16" s="431">
        <v>6</v>
      </c>
      <c r="G16" s="113">
        <f ca="1">('anexa 2intermediar'!H42)/1000</f>
        <v>220193.58799999999</v>
      </c>
      <c r="H16" s="113">
        <f ca="1">(H17+H18+H19+H26)</f>
        <v>200779.829</v>
      </c>
      <c r="I16" s="50">
        <f t="shared" si="4"/>
        <v>0.9118332228638738</v>
      </c>
      <c r="J16" s="122">
        <f t="shared" si="0"/>
        <v>206803.22387000002</v>
      </c>
      <c r="K16" s="122">
        <f t="shared" si="1"/>
        <v>211973.30446675001</v>
      </c>
      <c r="L16" s="151">
        <f t="shared" si="2"/>
        <v>1.03</v>
      </c>
      <c r="M16" s="152">
        <f t="shared" si="3"/>
        <v>1.0249999999999999</v>
      </c>
    </row>
    <row r="17" spans="1:14">
      <c r="A17" s="468"/>
      <c r="B17" s="469"/>
      <c r="C17" s="89" t="s">
        <v>260</v>
      </c>
      <c r="D17" s="469" t="s">
        <v>261</v>
      </c>
      <c r="E17" s="469"/>
      <c r="F17" s="431">
        <v>7</v>
      </c>
      <c r="G17" s="113">
        <f ca="1">('anexa 2intermediar'!H43)/1000</f>
        <v>147910.81700000001</v>
      </c>
      <c r="H17" s="113">
        <v>125822.872</v>
      </c>
      <c r="I17" s="50">
        <f t="shared" si="4"/>
        <v>0.85066714221448725</v>
      </c>
      <c r="J17" s="122">
        <f t="shared" si="0"/>
        <v>129597.55816</v>
      </c>
      <c r="K17" s="122">
        <f t="shared" si="1"/>
        <v>132837.497114</v>
      </c>
      <c r="L17" s="151">
        <f t="shared" si="2"/>
        <v>1.03</v>
      </c>
      <c r="M17" s="152">
        <f t="shared" si="3"/>
        <v>1.0249999999999999</v>
      </c>
    </row>
    <row r="18" spans="1:14">
      <c r="A18" s="468"/>
      <c r="B18" s="469"/>
      <c r="C18" s="89" t="s">
        <v>262</v>
      </c>
      <c r="D18" s="469" t="s">
        <v>263</v>
      </c>
      <c r="E18" s="469"/>
      <c r="F18" s="431">
        <v>8</v>
      </c>
      <c r="G18" s="113">
        <f ca="1">('anexa 2intermediar'!H91)/1000</f>
        <v>1683.4690000000001</v>
      </c>
      <c r="H18" s="113">
        <v>1749.3119999999999</v>
      </c>
      <c r="I18" s="50">
        <f t="shared" si="4"/>
        <v>1.0391115013106864</v>
      </c>
      <c r="J18" s="122">
        <f t="shared" si="0"/>
        <v>1801.7913599999999</v>
      </c>
      <c r="K18" s="122">
        <f t="shared" si="1"/>
        <v>1846.8361439999999</v>
      </c>
      <c r="L18" s="151">
        <f t="shared" si="2"/>
        <v>1.03</v>
      </c>
      <c r="M18" s="152">
        <f t="shared" si="3"/>
        <v>1.0249999999999999</v>
      </c>
    </row>
    <row r="19" spans="1:14" ht="15.75" customHeight="1">
      <c r="A19" s="468"/>
      <c r="B19" s="469"/>
      <c r="C19" s="89" t="s">
        <v>264</v>
      </c>
      <c r="D19" s="469" t="s">
        <v>265</v>
      </c>
      <c r="E19" s="469"/>
      <c r="F19" s="431">
        <v>9</v>
      </c>
      <c r="G19" s="113">
        <f ca="1">(G20+G21+G22+G24+G25)</f>
        <v>54439.557000000001</v>
      </c>
      <c r="H19" s="113">
        <f ca="1">(H20+H21+H22+H24+H25)</f>
        <v>55280.888999999996</v>
      </c>
      <c r="I19" s="50">
        <f t="shared" si="4"/>
        <v>1.0154544240688805</v>
      </c>
      <c r="J19" s="122">
        <f t="shared" si="0"/>
        <v>56939.315669999996</v>
      </c>
      <c r="K19" s="122">
        <f t="shared" si="1"/>
        <v>58362.798561749994</v>
      </c>
      <c r="L19" s="151">
        <f t="shared" si="2"/>
        <v>1.03</v>
      </c>
      <c r="M19" s="152">
        <f t="shared" si="3"/>
        <v>1.0249999999999999</v>
      </c>
    </row>
    <row r="20" spans="1:14">
      <c r="A20" s="468"/>
      <c r="B20" s="469"/>
      <c r="C20" s="469"/>
      <c r="D20" s="89" t="s">
        <v>163</v>
      </c>
      <c r="E20" s="89" t="s">
        <v>266</v>
      </c>
      <c r="F20" s="431">
        <v>10</v>
      </c>
      <c r="G20" s="113">
        <v>35367.656000000003</v>
      </c>
      <c r="H20" s="113">
        <v>34950</v>
      </c>
      <c r="I20" s="50">
        <f t="shared" si="4"/>
        <v>0.98819101837000445</v>
      </c>
      <c r="J20" s="122">
        <f t="shared" si="0"/>
        <v>35998.5</v>
      </c>
      <c r="K20" s="122">
        <f t="shared" si="1"/>
        <v>36898.462499999994</v>
      </c>
      <c r="L20" s="151">
        <f t="shared" si="2"/>
        <v>1.03</v>
      </c>
      <c r="M20" s="152">
        <f t="shared" si="3"/>
        <v>1.0249999999999999</v>
      </c>
    </row>
    <row r="21" spans="1:14">
      <c r="A21" s="468"/>
      <c r="B21" s="469"/>
      <c r="C21" s="469"/>
      <c r="D21" s="89" t="s">
        <v>197</v>
      </c>
      <c r="E21" s="89" t="s">
        <v>211</v>
      </c>
      <c r="F21" s="431">
        <v>11</v>
      </c>
      <c r="G21" s="113">
        <f ca="1">('anexa 2intermediar'!H103)/1000</f>
        <v>2723.5</v>
      </c>
      <c r="H21" s="113">
        <v>2473.4140000000002</v>
      </c>
      <c r="I21" s="50">
        <f t="shared" si="4"/>
        <v>0.90817477510556277</v>
      </c>
      <c r="J21" s="122">
        <f t="shared" si="0"/>
        <v>2547.6164200000003</v>
      </c>
      <c r="K21" s="122">
        <f t="shared" si="1"/>
        <v>2611.3068305000002</v>
      </c>
      <c r="L21" s="151">
        <f t="shared" si="2"/>
        <v>1.03</v>
      </c>
      <c r="M21" s="152">
        <f t="shared" si="3"/>
        <v>1.0249999999999999</v>
      </c>
    </row>
    <row r="22" spans="1:14">
      <c r="A22" s="468"/>
      <c r="B22" s="469"/>
      <c r="C22" s="469"/>
      <c r="D22" s="89" t="s">
        <v>267</v>
      </c>
      <c r="E22" s="89" t="s">
        <v>268</v>
      </c>
      <c r="F22" s="431">
        <v>12</v>
      </c>
      <c r="G22" s="113">
        <v>4418.6959999999999</v>
      </c>
      <c r="H22" s="113">
        <v>5711.0119999999997</v>
      </c>
      <c r="I22" s="50">
        <f t="shared" si="4"/>
        <v>1.2924654694507158</v>
      </c>
      <c r="J22" s="122">
        <f t="shared" si="0"/>
        <v>5882.3423599999996</v>
      </c>
      <c r="K22" s="122">
        <f t="shared" si="1"/>
        <v>6029.4009189999988</v>
      </c>
      <c r="L22" s="151">
        <f t="shared" si="2"/>
        <v>1.03</v>
      </c>
      <c r="M22" s="152">
        <f t="shared" si="3"/>
        <v>1.0249999999999999</v>
      </c>
    </row>
    <row r="23" spans="1:14" ht="25.5">
      <c r="A23" s="468"/>
      <c r="B23" s="469"/>
      <c r="C23" s="469"/>
      <c r="D23" s="89"/>
      <c r="E23" s="91" t="s">
        <v>91</v>
      </c>
      <c r="F23" s="431">
        <v>13</v>
      </c>
      <c r="G23" s="113">
        <f ca="1">('anexa 2intermediar'!H112)/1000</f>
        <v>1845.0250000000001</v>
      </c>
      <c r="H23" s="113">
        <v>2625.0250000000001</v>
      </c>
      <c r="I23" s="50">
        <f t="shared" si="4"/>
        <v>1.4227584992073279</v>
      </c>
      <c r="J23" s="122">
        <f t="shared" si="0"/>
        <v>2703.7757500000002</v>
      </c>
      <c r="K23" s="122">
        <f t="shared" si="1"/>
        <v>2771.3701437499999</v>
      </c>
      <c r="L23" s="151">
        <f t="shared" si="2"/>
        <v>1.03</v>
      </c>
      <c r="M23" s="152">
        <f t="shared" si="3"/>
        <v>1.0249999999999999</v>
      </c>
    </row>
    <row r="24" spans="1:14">
      <c r="A24" s="468"/>
      <c r="B24" s="469"/>
      <c r="C24" s="469"/>
      <c r="D24" s="89" t="s">
        <v>188</v>
      </c>
      <c r="E24" s="89" t="s">
        <v>269</v>
      </c>
      <c r="F24" s="431">
        <v>14</v>
      </c>
      <c r="G24" s="113">
        <f ca="1">('anexa 2intermediar'!H115)/1000</f>
        <v>561.65599999999995</v>
      </c>
      <c r="H24" s="113">
        <v>690.6</v>
      </c>
      <c r="I24" s="50">
        <f t="shared" si="4"/>
        <v>1.2295782471833294</v>
      </c>
      <c r="J24" s="122">
        <f t="shared" si="0"/>
        <v>711.3180000000001</v>
      </c>
      <c r="K24" s="122">
        <f t="shared" si="1"/>
        <v>729.10095000000001</v>
      </c>
      <c r="L24" s="151">
        <f t="shared" si="2"/>
        <v>1.03</v>
      </c>
      <c r="M24" s="152">
        <f t="shared" si="3"/>
        <v>1.0249999999999999</v>
      </c>
    </row>
    <row r="25" spans="1:14" ht="25.5">
      <c r="A25" s="468"/>
      <c r="B25" s="469"/>
      <c r="C25" s="469"/>
      <c r="D25" s="89" t="s">
        <v>198</v>
      </c>
      <c r="E25" s="91" t="s">
        <v>199</v>
      </c>
      <c r="F25" s="431">
        <v>15</v>
      </c>
      <c r="G25" s="113">
        <f ca="1">('anexa 2intermediar'!H120)/1000</f>
        <v>11368.049000000001</v>
      </c>
      <c r="H25" s="113">
        <v>11455.862999999999</v>
      </c>
      <c r="I25" s="50">
        <f t="shared" si="4"/>
        <v>1.0077246324325306</v>
      </c>
      <c r="J25" s="122">
        <f t="shared" si="0"/>
        <v>11799.53889</v>
      </c>
      <c r="K25" s="122">
        <f t="shared" si="1"/>
        <v>12094.527362249999</v>
      </c>
      <c r="L25" s="151">
        <f t="shared" si="2"/>
        <v>1.03</v>
      </c>
      <c r="M25" s="152">
        <f t="shared" si="3"/>
        <v>1.0249999999999999</v>
      </c>
    </row>
    <row r="26" spans="1:14">
      <c r="A26" s="468"/>
      <c r="B26" s="469"/>
      <c r="C26" s="89" t="s">
        <v>270</v>
      </c>
      <c r="D26" s="469" t="s">
        <v>271</v>
      </c>
      <c r="E26" s="469"/>
      <c r="F26" s="431">
        <v>16</v>
      </c>
      <c r="G26" s="113">
        <f ca="1">('anexa 2intermediar'!H127)/1000</f>
        <v>16159.745000000001</v>
      </c>
      <c r="H26" s="113">
        <v>17926.756000000001</v>
      </c>
      <c r="I26" s="50">
        <f t="shared" si="4"/>
        <v>1.1093464655537573</v>
      </c>
      <c r="J26" s="122">
        <f t="shared" si="0"/>
        <v>18464.558680000002</v>
      </c>
      <c r="K26" s="122">
        <f t="shared" si="1"/>
        <v>18926.172646999999</v>
      </c>
      <c r="L26" s="151">
        <f t="shared" si="2"/>
        <v>1.03</v>
      </c>
      <c r="M26" s="152">
        <f t="shared" si="3"/>
        <v>1.0249999999999999</v>
      </c>
    </row>
    <row r="27" spans="1:14">
      <c r="A27" s="468"/>
      <c r="B27" s="89" t="s">
        <v>71</v>
      </c>
      <c r="C27" s="89"/>
      <c r="D27" s="469" t="s">
        <v>272</v>
      </c>
      <c r="E27" s="469"/>
      <c r="F27" s="431">
        <v>17</v>
      </c>
      <c r="G27" s="113">
        <f ca="1">('anexa 2intermediar'!H142)/1000</f>
        <v>6919.018</v>
      </c>
      <c r="H27" s="113">
        <v>5890.8850000000002</v>
      </c>
      <c r="I27" s="50">
        <f t="shared" si="4"/>
        <v>0.85140478027373256</v>
      </c>
      <c r="J27" s="122">
        <f t="shared" si="0"/>
        <v>6067.6115500000005</v>
      </c>
      <c r="K27" s="122">
        <f t="shared" si="1"/>
        <v>6219.3018387499997</v>
      </c>
      <c r="L27" s="151">
        <f t="shared" si="2"/>
        <v>1.03</v>
      </c>
      <c r="M27" s="152">
        <f t="shared" si="3"/>
        <v>1.0249999999999999</v>
      </c>
    </row>
    <row r="28" spans="1:14">
      <c r="A28" s="468"/>
      <c r="B28" s="89" t="s">
        <v>65</v>
      </c>
      <c r="C28" s="89"/>
      <c r="D28" s="469" t="s">
        <v>273</v>
      </c>
      <c r="E28" s="469"/>
      <c r="F28" s="431">
        <v>18</v>
      </c>
      <c r="G28" s="113">
        <f ca="1">('anexa 2intermediar'!H150)/1000</f>
        <v>0</v>
      </c>
      <c r="H28" s="113">
        <f ca="1">('anexa 2intermediar'!I150)/1000</f>
        <v>0</v>
      </c>
      <c r="I28" s="50"/>
      <c r="J28" s="122">
        <f t="shared" si="0"/>
        <v>0</v>
      </c>
      <c r="K28" s="122">
        <f t="shared" si="1"/>
        <v>0</v>
      </c>
      <c r="L28" s="151"/>
      <c r="M28" s="152"/>
    </row>
    <row r="29" spans="1:14" s="47" customFormat="1">
      <c r="A29" s="57" t="s">
        <v>274</v>
      </c>
      <c r="B29" s="90"/>
      <c r="C29" s="90"/>
      <c r="D29" s="462" t="s">
        <v>275</v>
      </c>
      <c r="E29" s="462"/>
      <c r="F29" s="432">
        <v>19</v>
      </c>
      <c r="G29" s="114">
        <f>G11-G15</f>
        <v>-31809.746000000014</v>
      </c>
      <c r="H29" s="114">
        <f>H11-H15</f>
        <v>49.066999999980908</v>
      </c>
      <c r="I29" s="49"/>
      <c r="J29" s="112">
        <f t="shared" si="0"/>
        <v>50.539009999980337</v>
      </c>
      <c r="K29" s="112">
        <f t="shared" si="1"/>
        <v>51.802485249979838</v>
      </c>
      <c r="L29" s="149">
        <f t="shared" si="2"/>
        <v>1.03</v>
      </c>
      <c r="M29" s="150">
        <f t="shared" si="3"/>
        <v>1.0249999999999999</v>
      </c>
    </row>
    <row r="30" spans="1:14" s="47" customFormat="1" ht="15.75" customHeight="1">
      <c r="A30" s="57" t="s">
        <v>276</v>
      </c>
      <c r="B30" s="90"/>
      <c r="C30" s="90"/>
      <c r="D30" s="462" t="s">
        <v>277</v>
      </c>
      <c r="E30" s="462"/>
      <c r="F30" s="432">
        <v>20</v>
      </c>
      <c r="G30" s="114"/>
      <c r="H30" s="114"/>
      <c r="I30" s="49"/>
      <c r="J30" s="112"/>
      <c r="K30" s="112"/>
      <c r="L30" s="149"/>
      <c r="M30" s="150"/>
    </row>
    <row r="31" spans="1:14" s="47" customFormat="1" ht="29.25" customHeight="1">
      <c r="A31" s="57" t="s">
        <v>278</v>
      </c>
      <c r="B31" s="90"/>
      <c r="C31" s="90"/>
      <c r="D31" s="470" t="s">
        <v>201</v>
      </c>
      <c r="E31" s="470"/>
      <c r="F31" s="432">
        <v>21</v>
      </c>
      <c r="G31" s="114"/>
      <c r="H31" s="114"/>
      <c r="I31" s="49"/>
      <c r="J31" s="112"/>
      <c r="K31" s="112"/>
      <c r="L31" s="149"/>
      <c r="M31" s="150"/>
    </row>
    <row r="32" spans="1:14">
      <c r="A32" s="468"/>
      <c r="B32" s="89" t="s">
        <v>3</v>
      </c>
      <c r="C32" s="89"/>
      <c r="D32" s="469" t="s">
        <v>279</v>
      </c>
      <c r="E32" s="469"/>
      <c r="F32" s="431">
        <v>22</v>
      </c>
      <c r="G32" s="113"/>
      <c r="H32" s="115"/>
      <c r="I32" s="50"/>
      <c r="J32" s="122"/>
      <c r="K32" s="122"/>
      <c r="L32" s="151"/>
      <c r="M32" s="152"/>
      <c r="N32" s="83"/>
    </row>
    <row r="33" spans="1:13" ht="24.75" customHeight="1">
      <c r="A33" s="468"/>
      <c r="B33" s="89" t="s">
        <v>71</v>
      </c>
      <c r="C33" s="89"/>
      <c r="D33" s="471" t="s">
        <v>280</v>
      </c>
      <c r="E33" s="471"/>
      <c r="F33" s="431">
        <v>23</v>
      </c>
      <c r="G33" s="113"/>
      <c r="H33" s="115"/>
      <c r="I33" s="50"/>
      <c r="J33" s="122"/>
      <c r="K33" s="122"/>
      <c r="L33" s="151"/>
      <c r="M33" s="152"/>
    </row>
    <row r="34" spans="1:13" ht="16.5" customHeight="1">
      <c r="A34" s="468"/>
      <c r="B34" s="89" t="s">
        <v>65</v>
      </c>
      <c r="C34" s="89"/>
      <c r="D34" s="469" t="s">
        <v>281</v>
      </c>
      <c r="E34" s="469"/>
      <c r="F34" s="431">
        <v>24</v>
      </c>
      <c r="G34" s="113"/>
      <c r="H34" s="116"/>
      <c r="I34" s="50"/>
      <c r="J34" s="122"/>
      <c r="K34" s="122"/>
      <c r="L34" s="151"/>
      <c r="M34" s="152"/>
    </row>
    <row r="35" spans="1:13" ht="66.75" customHeight="1">
      <c r="A35" s="468"/>
      <c r="B35" s="89" t="s">
        <v>66</v>
      </c>
      <c r="C35" s="89"/>
      <c r="D35" s="471" t="s">
        <v>700</v>
      </c>
      <c r="E35" s="471"/>
      <c r="F35" s="431">
        <v>25</v>
      </c>
      <c r="G35" s="113"/>
      <c r="H35" s="113"/>
      <c r="I35" s="50"/>
      <c r="J35" s="113"/>
      <c r="K35" s="122"/>
      <c r="L35" s="151"/>
      <c r="M35" s="152"/>
    </row>
    <row r="36" spans="1:13">
      <c r="A36" s="468"/>
      <c r="B36" s="89" t="s">
        <v>80</v>
      </c>
      <c r="C36" s="89"/>
      <c r="D36" s="469" t="s">
        <v>282</v>
      </c>
      <c r="E36" s="469"/>
      <c r="F36" s="431">
        <v>26</v>
      </c>
      <c r="G36" s="113"/>
      <c r="H36" s="115"/>
      <c r="I36" s="50"/>
      <c r="J36" s="115"/>
      <c r="K36" s="113"/>
      <c r="L36" s="151"/>
      <c r="M36" s="152"/>
    </row>
    <row r="37" spans="1:13" ht="30" customHeight="1">
      <c r="A37" s="468"/>
      <c r="B37" s="89" t="s">
        <v>68</v>
      </c>
      <c r="C37" s="89"/>
      <c r="D37" s="471" t="s">
        <v>283</v>
      </c>
      <c r="E37" s="471"/>
      <c r="F37" s="431">
        <v>27</v>
      </c>
      <c r="G37" s="113"/>
      <c r="H37" s="113"/>
      <c r="I37" s="50"/>
      <c r="J37" s="113"/>
      <c r="K37" s="113"/>
      <c r="L37" s="151"/>
      <c r="M37" s="152"/>
    </row>
    <row r="38" spans="1:13" ht="55.5" customHeight="1">
      <c r="A38" s="468"/>
      <c r="B38" s="89" t="s">
        <v>4</v>
      </c>
      <c r="C38" s="89"/>
      <c r="D38" s="471" t="s">
        <v>284</v>
      </c>
      <c r="E38" s="471"/>
      <c r="F38" s="431">
        <v>28</v>
      </c>
      <c r="G38" s="113"/>
      <c r="H38" s="116"/>
      <c r="I38" s="50"/>
      <c r="J38" s="116"/>
      <c r="K38" s="113"/>
      <c r="L38" s="151"/>
      <c r="M38" s="152"/>
    </row>
    <row r="39" spans="1:13" ht="65.25" customHeight="1">
      <c r="A39" s="468"/>
      <c r="B39" s="89" t="s">
        <v>68</v>
      </c>
      <c r="C39" s="89"/>
      <c r="D39" s="471" t="s">
        <v>285</v>
      </c>
      <c r="E39" s="471"/>
      <c r="F39" s="431">
        <v>29</v>
      </c>
      <c r="G39" s="113"/>
      <c r="H39" s="115"/>
      <c r="I39" s="50"/>
      <c r="J39" s="115"/>
      <c r="K39" s="113"/>
      <c r="L39" s="151"/>
      <c r="M39" s="152"/>
    </row>
    <row r="40" spans="1:13">
      <c r="A40" s="468"/>
      <c r="B40" s="89"/>
      <c r="C40" s="89" t="s">
        <v>93</v>
      </c>
      <c r="D40" s="471" t="s">
        <v>286</v>
      </c>
      <c r="E40" s="471"/>
      <c r="F40" s="431">
        <v>30</v>
      </c>
      <c r="G40" s="113"/>
      <c r="H40" s="115"/>
      <c r="I40" s="50"/>
      <c r="J40" s="113"/>
      <c r="K40" s="115"/>
      <c r="L40" s="151"/>
      <c r="M40" s="152"/>
    </row>
    <row r="41" spans="1:13">
      <c r="A41" s="468"/>
      <c r="B41" s="89" t="s">
        <v>92</v>
      </c>
      <c r="C41" s="89"/>
      <c r="D41" s="472" t="s">
        <v>287</v>
      </c>
      <c r="E41" s="472"/>
      <c r="F41" s="431">
        <v>31</v>
      </c>
      <c r="G41" s="113"/>
      <c r="H41" s="115"/>
      <c r="I41" s="50"/>
      <c r="J41" s="113"/>
      <c r="K41" s="115"/>
      <c r="L41" s="151"/>
      <c r="M41" s="152"/>
    </row>
    <row r="42" spans="1:13" s="47" customFormat="1">
      <c r="A42" s="57" t="s">
        <v>288</v>
      </c>
      <c r="B42" s="90"/>
      <c r="C42" s="90"/>
      <c r="D42" s="462" t="s">
        <v>289</v>
      </c>
      <c r="E42" s="462"/>
      <c r="F42" s="432">
        <v>32</v>
      </c>
      <c r="G42" s="114"/>
      <c r="H42" s="117"/>
      <c r="I42" s="49"/>
      <c r="J42" s="113"/>
      <c r="K42" s="115"/>
      <c r="L42" s="149"/>
      <c r="M42" s="150"/>
    </row>
    <row r="43" spans="1:13" s="47" customFormat="1">
      <c r="A43" s="57" t="s">
        <v>290</v>
      </c>
      <c r="B43" s="90"/>
      <c r="C43" s="90"/>
      <c r="D43" s="470" t="s">
        <v>291</v>
      </c>
      <c r="E43" s="470"/>
      <c r="F43" s="432">
        <v>33</v>
      </c>
      <c r="G43" s="114"/>
      <c r="H43" s="117"/>
      <c r="I43" s="49"/>
      <c r="J43" s="113"/>
      <c r="K43" s="115"/>
      <c r="L43" s="149"/>
      <c r="M43" s="150"/>
    </row>
    <row r="44" spans="1:13">
      <c r="A44" s="88"/>
      <c r="B44" s="89"/>
      <c r="C44" s="89" t="s">
        <v>93</v>
      </c>
      <c r="D44" s="469" t="s">
        <v>292</v>
      </c>
      <c r="E44" s="469"/>
      <c r="F44" s="431">
        <v>34</v>
      </c>
      <c r="G44" s="113"/>
      <c r="H44" s="115"/>
      <c r="I44" s="50"/>
      <c r="J44" s="115"/>
      <c r="K44" s="113"/>
      <c r="L44" s="151"/>
      <c r="M44" s="152"/>
    </row>
    <row r="45" spans="1:13">
      <c r="A45" s="88"/>
      <c r="B45" s="89"/>
      <c r="C45" s="89" t="s">
        <v>149</v>
      </c>
      <c r="D45" s="469" t="s">
        <v>293</v>
      </c>
      <c r="E45" s="469"/>
      <c r="F45" s="431">
        <v>35</v>
      </c>
      <c r="G45" s="113"/>
      <c r="H45" s="115"/>
      <c r="I45" s="50"/>
      <c r="J45" s="115"/>
      <c r="K45" s="113"/>
      <c r="L45" s="151"/>
      <c r="M45" s="152"/>
    </row>
    <row r="46" spans="1:13">
      <c r="A46" s="88"/>
      <c r="B46" s="89"/>
      <c r="C46" s="89" t="s">
        <v>152</v>
      </c>
      <c r="D46" s="469" t="s">
        <v>294</v>
      </c>
      <c r="E46" s="469"/>
      <c r="F46" s="431">
        <v>36</v>
      </c>
      <c r="G46" s="113"/>
      <c r="H46" s="115"/>
      <c r="I46" s="50"/>
      <c r="J46" s="115"/>
      <c r="K46" s="113"/>
      <c r="L46" s="151"/>
      <c r="M46" s="152"/>
    </row>
    <row r="47" spans="1:13">
      <c r="A47" s="88"/>
      <c r="B47" s="89"/>
      <c r="C47" s="89" t="s">
        <v>155</v>
      </c>
      <c r="D47" s="469" t="s">
        <v>295</v>
      </c>
      <c r="E47" s="469"/>
      <c r="F47" s="431">
        <v>37</v>
      </c>
      <c r="G47" s="113"/>
      <c r="H47" s="115"/>
      <c r="I47" s="50"/>
      <c r="J47" s="115"/>
      <c r="K47" s="113"/>
      <c r="L47" s="151"/>
      <c r="M47" s="152"/>
    </row>
    <row r="48" spans="1:13">
      <c r="A48" s="88"/>
      <c r="B48" s="89"/>
      <c r="C48" s="89" t="s">
        <v>94</v>
      </c>
      <c r="D48" s="469" t="s">
        <v>296</v>
      </c>
      <c r="E48" s="469"/>
      <c r="F48" s="431">
        <v>38</v>
      </c>
      <c r="G48" s="113"/>
      <c r="H48" s="115"/>
      <c r="I48" s="50"/>
      <c r="J48" s="115"/>
      <c r="K48" s="113"/>
      <c r="L48" s="151"/>
      <c r="M48" s="152"/>
    </row>
    <row r="49" spans="1:13" s="47" customFormat="1">
      <c r="A49" s="57" t="s">
        <v>297</v>
      </c>
      <c r="B49" s="90"/>
      <c r="C49" s="90"/>
      <c r="D49" s="462" t="s">
        <v>298</v>
      </c>
      <c r="E49" s="462"/>
      <c r="F49" s="432">
        <v>39</v>
      </c>
      <c r="G49" s="440">
        <v>17866</v>
      </c>
      <c r="H49" s="440">
        <v>38081</v>
      </c>
      <c r="I49" s="107"/>
      <c r="J49" s="317"/>
      <c r="K49" s="317"/>
      <c r="L49" s="49"/>
      <c r="M49" s="231"/>
    </row>
    <row r="50" spans="1:13">
      <c r="A50" s="88"/>
      <c r="B50" s="89" t="s">
        <v>3</v>
      </c>
      <c r="C50" s="89"/>
      <c r="D50" s="469" t="s">
        <v>72</v>
      </c>
      <c r="E50" s="469"/>
      <c r="F50" s="431">
        <v>40</v>
      </c>
      <c r="G50" s="441">
        <v>0</v>
      </c>
      <c r="H50" s="441">
        <v>0</v>
      </c>
      <c r="I50" s="107"/>
      <c r="J50" s="318"/>
      <c r="K50" s="318"/>
      <c r="L50" s="50"/>
      <c r="M50" s="234"/>
    </row>
    <row r="51" spans="1:13" s="47" customFormat="1">
      <c r="A51" s="57" t="s">
        <v>299</v>
      </c>
      <c r="B51" s="90"/>
      <c r="C51" s="90"/>
      <c r="D51" s="462" t="s">
        <v>300</v>
      </c>
      <c r="E51" s="462"/>
      <c r="F51" s="432">
        <v>41</v>
      </c>
      <c r="G51" s="442">
        <v>4724</v>
      </c>
      <c r="H51" s="443">
        <v>27416</v>
      </c>
      <c r="I51" s="107"/>
      <c r="J51" s="319"/>
      <c r="K51" s="319"/>
      <c r="L51" s="49"/>
      <c r="M51" s="231"/>
    </row>
    <row r="52" spans="1:13" s="47" customFormat="1">
      <c r="A52" s="57" t="s">
        <v>301</v>
      </c>
      <c r="B52" s="90"/>
      <c r="C52" s="90"/>
      <c r="D52" s="462" t="s">
        <v>302</v>
      </c>
      <c r="E52" s="462"/>
      <c r="F52" s="432">
        <v>42</v>
      </c>
      <c r="G52" s="320"/>
      <c r="H52" s="321"/>
      <c r="I52" s="322"/>
      <c r="J52" s="321"/>
      <c r="K52" s="320"/>
      <c r="L52" s="149"/>
      <c r="M52" s="150"/>
    </row>
    <row r="53" spans="1:13">
      <c r="A53" s="468"/>
      <c r="B53" s="89" t="s">
        <v>3</v>
      </c>
      <c r="C53" s="89"/>
      <c r="D53" s="469" t="s">
        <v>567</v>
      </c>
      <c r="E53" s="469"/>
      <c r="F53" s="431">
        <v>43</v>
      </c>
      <c r="G53" s="118">
        <v>924</v>
      </c>
      <c r="H53" s="118">
        <v>878</v>
      </c>
      <c r="I53" s="107">
        <f t="shared" ref="I53:I61" si="5">H53/G53</f>
        <v>0.95021645021645018</v>
      </c>
      <c r="J53" s="123"/>
      <c r="K53" s="118"/>
      <c r="L53" s="151"/>
      <c r="M53" s="152"/>
    </row>
    <row r="54" spans="1:13">
      <c r="A54" s="468"/>
      <c r="B54" s="89" t="s">
        <v>71</v>
      </c>
      <c r="C54" s="89"/>
      <c r="D54" s="469" t="s">
        <v>303</v>
      </c>
      <c r="E54" s="469"/>
      <c r="F54" s="431">
        <v>44</v>
      </c>
      <c r="G54" s="118">
        <v>974</v>
      </c>
      <c r="H54" s="118">
        <v>909</v>
      </c>
      <c r="I54" s="107">
        <f t="shared" si="5"/>
        <v>0.93326488706365507</v>
      </c>
      <c r="J54" s="123"/>
      <c r="K54" s="118"/>
      <c r="L54" s="151"/>
      <c r="M54" s="152"/>
    </row>
    <row r="55" spans="1:13">
      <c r="A55" s="468"/>
      <c r="B55" s="89" t="s">
        <v>65</v>
      </c>
      <c r="C55" s="89"/>
      <c r="D55" s="469" t="s">
        <v>304</v>
      </c>
      <c r="E55" s="469"/>
      <c r="F55" s="431">
        <v>45</v>
      </c>
      <c r="G55" s="118">
        <f>G56+G57</f>
        <v>38091.156000000003</v>
      </c>
      <c r="H55" s="118">
        <f>H56+H57</f>
        <v>37423.413999999997</v>
      </c>
      <c r="I55" s="107">
        <f t="shared" si="5"/>
        <v>0.98246989406149798</v>
      </c>
      <c r="J55" s="323"/>
      <c r="K55" s="323"/>
      <c r="L55" s="151"/>
      <c r="M55" s="152"/>
    </row>
    <row r="56" spans="1:13" ht="18" customHeight="1">
      <c r="A56" s="468"/>
      <c r="B56" s="89"/>
      <c r="C56" s="89" t="s">
        <v>93</v>
      </c>
      <c r="D56" s="469" t="s">
        <v>293</v>
      </c>
      <c r="E56" s="469"/>
      <c r="F56" s="431">
        <v>46</v>
      </c>
      <c r="G56" s="118">
        <v>35367.656000000003</v>
      </c>
      <c r="H56" s="118">
        <v>34950</v>
      </c>
      <c r="I56" s="107">
        <f t="shared" si="5"/>
        <v>0.98819101837000445</v>
      </c>
      <c r="J56" s="323"/>
      <c r="K56" s="323"/>
      <c r="L56" s="151"/>
      <c r="M56" s="152"/>
    </row>
    <row r="57" spans="1:13">
      <c r="A57" s="468"/>
      <c r="B57" s="89"/>
      <c r="C57" s="89" t="s">
        <v>149</v>
      </c>
      <c r="D57" s="469" t="s">
        <v>211</v>
      </c>
      <c r="E57" s="469"/>
      <c r="F57" s="431">
        <v>47</v>
      </c>
      <c r="G57" s="118">
        <f ca="1">('anexa 2intermediar'!H103)/1000</f>
        <v>2723.5</v>
      </c>
      <c r="H57" s="118">
        <v>2473.4140000000002</v>
      </c>
      <c r="I57" s="107">
        <f t="shared" si="5"/>
        <v>0.90817477510556277</v>
      </c>
      <c r="J57" s="323"/>
      <c r="K57" s="323"/>
      <c r="L57" s="151"/>
      <c r="M57" s="152"/>
    </row>
    <row r="58" spans="1:13" ht="59.25" customHeight="1">
      <c r="A58" s="468"/>
      <c r="B58" s="89" t="s">
        <v>66</v>
      </c>
      <c r="C58" s="89"/>
      <c r="D58" s="474" t="s">
        <v>250</v>
      </c>
      <c r="E58" s="475"/>
      <c r="F58" s="431">
        <v>48</v>
      </c>
      <c r="G58" s="118">
        <f>(G56/G54)/12*1000</f>
        <v>3025.9801505817932</v>
      </c>
      <c r="H58" s="118">
        <f>(H56/H54)/12*1000</f>
        <v>3204.0704070407046</v>
      </c>
      <c r="I58" s="324">
        <f t="shared" si="5"/>
        <v>1.0588537424558686</v>
      </c>
      <c r="J58" s="118"/>
      <c r="K58" s="118"/>
      <c r="L58" s="153"/>
      <c r="M58" s="154"/>
    </row>
    <row r="59" spans="1:13" ht="47.25" customHeight="1">
      <c r="A59" s="468"/>
      <c r="B59" s="89" t="s">
        <v>80</v>
      </c>
      <c r="C59" s="89"/>
      <c r="D59" s="476" t="s">
        <v>701</v>
      </c>
      <c r="E59" s="476"/>
      <c r="F59" s="431">
        <v>49</v>
      </c>
      <c r="G59" s="118">
        <f>(G55/G54)/12*1000</f>
        <v>3258.9969199178649</v>
      </c>
      <c r="H59" s="118">
        <f>(H55/H54)/12*1000</f>
        <v>3430.8226989365598</v>
      </c>
      <c r="I59" s="107">
        <f t="shared" si="5"/>
        <v>1.0527235168491738</v>
      </c>
      <c r="J59" s="118"/>
      <c r="K59" s="118"/>
      <c r="L59" s="151"/>
      <c r="M59" s="152"/>
    </row>
    <row r="60" spans="1:13" ht="30.75" customHeight="1">
      <c r="A60" s="468"/>
      <c r="B60" s="89" t="s">
        <v>67</v>
      </c>
      <c r="C60" s="89"/>
      <c r="D60" s="476" t="s">
        <v>702</v>
      </c>
      <c r="E60" s="476"/>
      <c r="F60" s="431">
        <v>50</v>
      </c>
      <c r="G60" s="118">
        <f>G11/G54*1000</f>
        <v>200516.28336755643</v>
      </c>
      <c r="H60" s="118">
        <f>H11/H54*1000</f>
        <v>227414.50055005497</v>
      </c>
      <c r="I60" s="107">
        <f t="shared" si="5"/>
        <v>1.1341448022612346</v>
      </c>
      <c r="J60" s="118"/>
      <c r="K60" s="118"/>
      <c r="L60" s="151"/>
      <c r="M60" s="152"/>
    </row>
    <row r="61" spans="1:13" ht="47.25" customHeight="1">
      <c r="A61" s="468"/>
      <c r="B61" s="89" t="s">
        <v>4</v>
      </c>
      <c r="C61" s="89"/>
      <c r="D61" s="476" t="s">
        <v>438</v>
      </c>
      <c r="E61" s="476"/>
      <c r="F61" s="431">
        <v>51</v>
      </c>
      <c r="G61" s="118">
        <f>G60*104.96%</f>
        <v>210461.8910225872</v>
      </c>
      <c r="H61" s="119">
        <f>H60*104.3%</f>
        <v>237193.32407370734</v>
      </c>
      <c r="I61" s="107">
        <f t="shared" si="5"/>
        <v>1.1270131752653085</v>
      </c>
      <c r="J61" s="118"/>
      <c r="K61" s="119"/>
      <c r="L61" s="151"/>
      <c r="M61" s="152"/>
    </row>
    <row r="62" spans="1:13" ht="31.5" customHeight="1">
      <c r="A62" s="468"/>
      <c r="B62" s="89" t="s">
        <v>68</v>
      </c>
      <c r="C62" s="89"/>
      <c r="D62" s="476" t="s">
        <v>251</v>
      </c>
      <c r="E62" s="476"/>
      <c r="F62" s="431">
        <v>52</v>
      </c>
      <c r="G62" s="118"/>
      <c r="H62" s="120"/>
      <c r="I62" s="107"/>
      <c r="J62" s="118"/>
      <c r="K62" s="123"/>
      <c r="L62" s="155"/>
      <c r="M62" s="156"/>
    </row>
    <row r="63" spans="1:13" ht="21" customHeight="1">
      <c r="A63" s="468"/>
      <c r="B63" s="89" t="s">
        <v>92</v>
      </c>
      <c r="C63" s="89"/>
      <c r="D63" s="476" t="s">
        <v>478</v>
      </c>
      <c r="E63" s="476"/>
      <c r="F63" s="431">
        <v>53</v>
      </c>
      <c r="G63" s="118">
        <f>G15/G11*1000</f>
        <v>1162.8739384564058</v>
      </c>
      <c r="H63" s="118">
        <f>(H15/H11)*1000</f>
        <v>999.76264003491769</v>
      </c>
      <c r="I63" s="118"/>
      <c r="J63" s="118">
        <f>(J15/J11)*1000</f>
        <v>999.76264003491769</v>
      </c>
      <c r="K63" s="118">
        <f>(K15/K11)*1000</f>
        <v>999.76264003491781</v>
      </c>
      <c r="L63" s="151"/>
      <c r="M63" s="152"/>
    </row>
    <row r="64" spans="1:13" ht="19.5" customHeight="1">
      <c r="A64" s="468"/>
      <c r="B64" s="89" t="s">
        <v>98</v>
      </c>
      <c r="C64" s="89"/>
      <c r="D64" s="89" t="s">
        <v>479</v>
      </c>
      <c r="E64" s="21"/>
      <c r="F64" s="431">
        <v>54</v>
      </c>
      <c r="G64" s="118">
        <v>122184.02499999999</v>
      </c>
      <c r="H64" s="118">
        <v>113192.731</v>
      </c>
      <c r="I64" s="107"/>
      <c r="J64" s="118"/>
      <c r="K64" s="118"/>
      <c r="L64" s="151"/>
      <c r="M64" s="152"/>
    </row>
    <row r="65" spans="1:13" ht="24" customHeight="1" thickBot="1">
      <c r="A65" s="473"/>
      <c r="B65" s="58" t="s">
        <v>100</v>
      </c>
      <c r="C65" s="58"/>
      <c r="D65" s="58" t="s">
        <v>480</v>
      </c>
      <c r="E65" s="58"/>
      <c r="F65" s="103">
        <v>55</v>
      </c>
      <c r="G65" s="325">
        <v>23425.398000000001</v>
      </c>
      <c r="H65" s="325">
        <v>22500</v>
      </c>
      <c r="I65" s="326"/>
      <c r="J65" s="325"/>
      <c r="K65" s="325"/>
      <c r="L65" s="157"/>
      <c r="M65" s="158"/>
    </row>
    <row r="67" spans="1:13">
      <c r="E67" s="1" t="s">
        <v>771</v>
      </c>
      <c r="H67" s="1" t="s">
        <v>770</v>
      </c>
    </row>
    <row r="68" spans="1:13">
      <c r="E68" s="1" t="s">
        <v>772</v>
      </c>
      <c r="H68" s="1" t="s">
        <v>773</v>
      </c>
    </row>
  </sheetData>
  <mergeCells count="70">
    <mergeCell ref="A58:A65"/>
    <mergeCell ref="D58:E58"/>
    <mergeCell ref="D59:E59"/>
    <mergeCell ref="D60:E60"/>
    <mergeCell ref="D61:E61"/>
    <mergeCell ref="D62:E62"/>
    <mergeCell ref="D63:E63"/>
    <mergeCell ref="A53:A57"/>
    <mergeCell ref="D53:E53"/>
    <mergeCell ref="D54:E54"/>
    <mergeCell ref="D55:E55"/>
    <mergeCell ref="D56:E56"/>
    <mergeCell ref="D57:E57"/>
    <mergeCell ref="D43:E43"/>
    <mergeCell ref="D44:E44"/>
    <mergeCell ref="D45:E45"/>
    <mergeCell ref="D46:E46"/>
    <mergeCell ref="D52:E52"/>
    <mergeCell ref="D47:E47"/>
    <mergeCell ref="D51:E51"/>
    <mergeCell ref="D49:E49"/>
    <mergeCell ref="D48:E48"/>
    <mergeCell ref="D50:E50"/>
    <mergeCell ref="D41:E41"/>
    <mergeCell ref="D40:E40"/>
    <mergeCell ref="D37:E37"/>
    <mergeCell ref="A32:A41"/>
    <mergeCell ref="D32:E32"/>
    <mergeCell ref="D33:E33"/>
    <mergeCell ref="D34:E34"/>
    <mergeCell ref="D35:E35"/>
    <mergeCell ref="D36:E36"/>
    <mergeCell ref="D18:E18"/>
    <mergeCell ref="C20:C25"/>
    <mergeCell ref="D26:E26"/>
    <mergeCell ref="D17:E17"/>
    <mergeCell ref="D42:E42"/>
    <mergeCell ref="D30:E30"/>
    <mergeCell ref="D31:E31"/>
    <mergeCell ref="D29:E29"/>
    <mergeCell ref="D38:E38"/>
    <mergeCell ref="D39:E39"/>
    <mergeCell ref="A12:A14"/>
    <mergeCell ref="D12:E12"/>
    <mergeCell ref="D13:E13"/>
    <mergeCell ref="D14:E14"/>
    <mergeCell ref="D16:E16"/>
    <mergeCell ref="B17:B26"/>
    <mergeCell ref="A16:A28"/>
    <mergeCell ref="D27:E27"/>
    <mergeCell ref="D28:E28"/>
    <mergeCell ref="D19:E19"/>
    <mergeCell ref="D15:E15"/>
    <mergeCell ref="L8:M8"/>
    <mergeCell ref="D11:E11"/>
    <mergeCell ref="K8:K9"/>
    <mergeCell ref="J8:J9"/>
    <mergeCell ref="I8:I9"/>
    <mergeCell ref="G8:G9"/>
    <mergeCell ref="D8:E9"/>
    <mergeCell ref="F8:F9"/>
    <mergeCell ref="B10:C10"/>
    <mergeCell ref="D10:E10"/>
    <mergeCell ref="B2:E2"/>
    <mergeCell ref="B3:E3"/>
    <mergeCell ref="B4:E4"/>
    <mergeCell ref="E5:K5"/>
    <mergeCell ref="A8:C9"/>
    <mergeCell ref="E6:J6"/>
    <mergeCell ref="H8:H9"/>
  </mergeCells>
  <phoneticPr fontId="21" type="noConversion"/>
  <pageMargins left="0.7" right="0.45" top="0.75" bottom="0.75" header="0.3" footer="0.3"/>
  <pageSetup paperSize="9" orientation="landscape" verticalDpi="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H2" sqref="H2:I2"/>
    </sheetView>
  </sheetViews>
  <sheetFormatPr defaultRowHeight="12.75"/>
  <cols>
    <col min="1" max="1" width="25.7109375" customWidth="1"/>
    <col min="4" max="4" width="6" customWidth="1"/>
    <col min="5" max="5" width="22.5703125" customWidth="1"/>
    <col min="7" max="7" width="9.5703125" customWidth="1"/>
    <col min="8" max="8" width="10.5703125" customWidth="1"/>
    <col min="9" max="9" width="10.28515625" customWidth="1"/>
    <col min="11" max="11" width="11.85546875" customWidth="1"/>
  </cols>
  <sheetData>
    <row r="1" spans="1:11" ht="15.75">
      <c r="A1" s="69" t="s">
        <v>428</v>
      </c>
    </row>
    <row r="2" spans="1:11" ht="13.5" thickBot="1">
      <c r="H2" s="642"/>
      <c r="I2" s="642"/>
    </row>
    <row r="3" spans="1:11">
      <c r="A3" s="33" t="s">
        <v>216</v>
      </c>
      <c r="B3" s="34">
        <f ca="1">'anexa 1intermediar'!G58</f>
        <v>35426767</v>
      </c>
      <c r="C3" s="34">
        <f ca="1">'anexa 1intermediar'!H58</f>
        <v>0</v>
      </c>
      <c r="D3" s="35" t="s">
        <v>217</v>
      </c>
      <c r="E3" s="36" t="s">
        <v>218</v>
      </c>
      <c r="F3" s="34"/>
      <c r="G3" s="34"/>
      <c r="H3" s="37"/>
      <c r="I3" s="37"/>
      <c r="J3" s="455" t="s">
        <v>229</v>
      </c>
      <c r="K3" s="637"/>
    </row>
    <row r="4" spans="1:11" ht="13.5" thickBot="1">
      <c r="A4" s="38" t="s">
        <v>219</v>
      </c>
      <c r="B4" s="39">
        <f ca="1">'anexa 1intermediar'!G59</f>
        <v>2723500</v>
      </c>
      <c r="C4" s="39">
        <f ca="1">'anexa 1intermediar'!H59</f>
        <v>0</v>
      </c>
      <c r="D4" s="40" t="s">
        <v>217</v>
      </c>
      <c r="E4" s="41" t="s">
        <v>220</v>
      </c>
      <c r="F4" s="39"/>
      <c r="G4" s="39"/>
      <c r="H4" s="42"/>
      <c r="I4" s="42"/>
      <c r="J4" s="640"/>
      <c r="K4" s="641"/>
    </row>
    <row r="5" spans="1:11">
      <c r="A5" s="33" t="s">
        <v>221</v>
      </c>
      <c r="B5" s="34">
        <f ca="1">'anexa 3'!G13</f>
        <v>167614.652</v>
      </c>
      <c r="C5" s="34">
        <f ca="1">'anexa 3'!H13</f>
        <v>156271.125</v>
      </c>
      <c r="D5" s="35" t="s">
        <v>217</v>
      </c>
      <c r="E5" s="36" t="s">
        <v>222</v>
      </c>
      <c r="F5" s="34"/>
      <c r="G5" s="34"/>
      <c r="H5" s="37"/>
      <c r="I5" s="37"/>
      <c r="J5" s="455" t="s">
        <v>230</v>
      </c>
      <c r="K5" s="637"/>
    </row>
    <row r="6" spans="1:11">
      <c r="A6" s="43" t="s">
        <v>223</v>
      </c>
      <c r="B6" s="44">
        <f ca="1">'anexa 3'!G14</f>
        <v>0</v>
      </c>
      <c r="C6" s="44">
        <f ca="1">'anexa 3'!H14</f>
        <v>0</v>
      </c>
      <c r="D6" s="32" t="s">
        <v>217</v>
      </c>
      <c r="E6" s="45" t="s">
        <v>224</v>
      </c>
      <c r="F6" s="44"/>
      <c r="G6" s="44"/>
      <c r="H6" s="46"/>
      <c r="I6" s="46"/>
      <c r="J6" s="638"/>
      <c r="K6" s="639"/>
    </row>
    <row r="7" spans="1:11">
      <c r="A7" s="43" t="s">
        <v>225</v>
      </c>
      <c r="B7" s="44">
        <f ca="1">'anexa 3'!G15</f>
        <v>4500</v>
      </c>
      <c r="C7" s="44">
        <f ca="1">'anexa 3'!H15</f>
        <v>692.41399999999999</v>
      </c>
      <c r="D7" s="32" t="s">
        <v>217</v>
      </c>
      <c r="E7" s="45" t="s">
        <v>227</v>
      </c>
      <c r="F7" s="44"/>
      <c r="G7" s="44"/>
      <c r="H7" s="46"/>
      <c r="I7" s="46"/>
      <c r="J7" s="638"/>
      <c r="K7" s="639"/>
    </row>
    <row r="8" spans="1:11" ht="13.5" thickBot="1">
      <c r="A8" s="38" t="s">
        <v>226</v>
      </c>
      <c r="B8" s="39">
        <f ca="1">'anexa 3'!G16</f>
        <v>3450</v>
      </c>
      <c r="C8" s="39">
        <f ca="1">'anexa 3'!H16</f>
        <v>3548.4169999999999</v>
      </c>
      <c r="D8" s="40" t="s">
        <v>217</v>
      </c>
      <c r="E8" s="41" t="s">
        <v>228</v>
      </c>
      <c r="F8" s="39"/>
      <c r="G8" s="39"/>
      <c r="H8" s="42"/>
      <c r="I8" s="42"/>
      <c r="J8" s="640"/>
      <c r="K8" s="641"/>
    </row>
    <row r="9" spans="1:11">
      <c r="A9" s="33" t="s">
        <v>231</v>
      </c>
      <c r="B9" s="636">
        <f ca="1">'anexa 7'!C13</f>
        <v>122184.02499999999</v>
      </c>
      <c r="C9" s="636"/>
      <c r="D9" s="35" t="s">
        <v>217</v>
      </c>
      <c r="E9" s="36" t="s">
        <v>232</v>
      </c>
      <c r="F9" s="636"/>
      <c r="G9" s="636"/>
      <c r="H9" s="643"/>
      <c r="I9" s="643"/>
      <c r="J9" s="455" t="s">
        <v>238</v>
      </c>
      <c r="K9" s="637"/>
    </row>
    <row r="10" spans="1:11">
      <c r="A10" s="43" t="s">
        <v>234</v>
      </c>
      <c r="B10" s="633">
        <f ca="1">'anexa 7'!H13</f>
        <v>113192.731</v>
      </c>
      <c r="C10" s="633"/>
      <c r="D10" s="32" t="s">
        <v>217</v>
      </c>
      <c r="E10" s="45" t="s">
        <v>233</v>
      </c>
      <c r="F10" s="633"/>
      <c r="G10" s="633"/>
      <c r="H10" s="627"/>
      <c r="I10" s="627"/>
      <c r="J10" s="638"/>
      <c r="K10" s="639"/>
    </row>
    <row r="11" spans="1:11">
      <c r="A11" s="43" t="s">
        <v>235</v>
      </c>
      <c r="B11" s="633">
        <f ca="1">'anexa 7'!J13</f>
        <v>104942.731</v>
      </c>
      <c r="C11" s="633"/>
      <c r="D11" s="32" t="s">
        <v>217</v>
      </c>
      <c r="E11" s="45" t="s">
        <v>236</v>
      </c>
      <c r="F11" s="633"/>
      <c r="G11" s="633"/>
      <c r="H11" s="627"/>
      <c r="I11" s="627"/>
      <c r="J11" s="638"/>
      <c r="K11" s="639"/>
    </row>
    <row r="12" spans="1:11" ht="13.5" thickBot="1">
      <c r="A12" s="38" t="s">
        <v>418</v>
      </c>
      <c r="B12" s="629">
        <f ca="1">'anexa 7'!L13</f>
        <v>104542.731</v>
      </c>
      <c r="C12" s="629"/>
      <c r="D12" s="40" t="s">
        <v>217</v>
      </c>
      <c r="E12" s="41" t="s">
        <v>237</v>
      </c>
      <c r="F12" s="629"/>
      <c r="G12" s="629"/>
      <c r="H12" s="628"/>
      <c r="I12" s="628"/>
      <c r="J12" s="640"/>
      <c r="K12" s="641"/>
    </row>
    <row r="13" spans="1:11">
      <c r="A13" s="60"/>
      <c r="B13" s="34"/>
      <c r="C13" s="34"/>
      <c r="D13" s="34"/>
      <c r="E13" s="34"/>
      <c r="F13" s="34"/>
      <c r="G13" s="34"/>
      <c r="H13" s="34"/>
      <c r="I13" s="34"/>
      <c r="J13" s="631" t="s">
        <v>426</v>
      </c>
      <c r="K13" s="632"/>
    </row>
    <row r="14" spans="1:11">
      <c r="A14" s="61"/>
      <c r="B14" s="44"/>
      <c r="C14" s="44"/>
      <c r="D14" s="44"/>
      <c r="E14" s="44"/>
      <c r="F14" s="44"/>
      <c r="G14" s="44"/>
      <c r="H14" s="44"/>
      <c r="I14" s="44"/>
      <c r="J14" s="633"/>
      <c r="K14" s="634"/>
    </row>
    <row r="15" spans="1:11">
      <c r="A15" s="61"/>
      <c r="B15" s="44"/>
      <c r="C15" s="44"/>
      <c r="D15" s="44"/>
      <c r="E15" s="44"/>
      <c r="F15" s="44"/>
      <c r="G15" s="44"/>
      <c r="H15" s="44"/>
      <c r="I15" s="44"/>
      <c r="J15" s="633"/>
      <c r="K15" s="634"/>
    </row>
    <row r="16" spans="1:11" ht="13.5" thickBot="1">
      <c r="A16" s="62"/>
      <c r="B16" s="39"/>
      <c r="C16" s="39"/>
      <c r="D16" s="39"/>
      <c r="E16" s="39"/>
      <c r="F16" s="39"/>
      <c r="G16" s="39"/>
      <c r="H16" s="39"/>
      <c r="I16" s="39"/>
      <c r="J16" s="629"/>
      <c r="K16" s="635"/>
    </row>
    <row r="17" spans="1:11">
      <c r="A17" s="60"/>
      <c r="B17" s="34"/>
      <c r="C17" s="34"/>
      <c r="D17" s="34"/>
      <c r="E17" s="34"/>
      <c r="F17" s="34"/>
      <c r="G17" s="34"/>
      <c r="H17" s="34"/>
      <c r="I17" s="34"/>
      <c r="J17" s="631" t="s">
        <v>427</v>
      </c>
      <c r="K17" s="632"/>
    </row>
    <row r="18" spans="1:11">
      <c r="A18" s="61"/>
      <c r="B18" s="44"/>
      <c r="C18" s="44"/>
      <c r="D18" s="44"/>
      <c r="E18" s="44"/>
      <c r="F18" s="44"/>
      <c r="G18" s="44"/>
      <c r="H18" s="44"/>
      <c r="I18" s="44"/>
      <c r="J18" s="633"/>
      <c r="K18" s="634"/>
    </row>
    <row r="19" spans="1:11">
      <c r="A19" s="61"/>
      <c r="B19" s="44"/>
      <c r="C19" s="44"/>
      <c r="D19" s="44"/>
      <c r="E19" s="44"/>
      <c r="F19" s="44"/>
      <c r="G19" s="44"/>
      <c r="H19" s="44"/>
      <c r="I19" s="44"/>
      <c r="J19" s="633"/>
      <c r="K19" s="634"/>
    </row>
    <row r="20" spans="1:11" ht="13.5" thickBot="1">
      <c r="A20" s="62"/>
      <c r="B20" s="39"/>
      <c r="C20" s="39"/>
      <c r="D20" s="39"/>
      <c r="E20" s="39"/>
      <c r="F20" s="39"/>
      <c r="G20" s="39"/>
      <c r="H20" s="39"/>
      <c r="I20" s="39"/>
      <c r="J20" s="629"/>
      <c r="K20" s="635"/>
    </row>
    <row r="23" spans="1:11" s="63" customFormat="1" ht="24" hidden="1">
      <c r="A23" s="64" t="s">
        <v>419</v>
      </c>
      <c r="B23" s="625">
        <f ca="1">'anexa 9'!D29+'anexa 9'!F23</f>
        <v>1710.2000000000044</v>
      </c>
      <c r="C23" s="625"/>
      <c r="D23" s="65" t="s">
        <v>217</v>
      </c>
      <c r="E23" s="66" t="s">
        <v>420</v>
      </c>
      <c r="F23" s="625">
        <f ca="1">'anexa 1intermediar'!H31</f>
        <v>0</v>
      </c>
      <c r="G23" s="625"/>
      <c r="H23" s="626">
        <f>B23-F23</f>
        <v>1710.2000000000044</v>
      </c>
      <c r="I23" s="626"/>
      <c r="J23" s="630" t="s">
        <v>424</v>
      </c>
      <c r="K23" s="625"/>
    </row>
    <row r="24" spans="1:11" ht="41.25" hidden="1" customHeight="1">
      <c r="A24" s="64" t="s">
        <v>421</v>
      </c>
      <c r="B24" s="625">
        <f ca="1">'anexa 9'!E29+'anexa 9'!G23</f>
        <v>235377</v>
      </c>
      <c r="C24" s="625"/>
      <c r="D24" s="65" t="s">
        <v>217</v>
      </c>
      <c r="E24" s="66" t="s">
        <v>422</v>
      </c>
      <c r="F24" s="625">
        <f ca="1">'anexa 1intermediar'!H66</f>
        <v>0</v>
      </c>
      <c r="G24" s="625"/>
      <c r="H24" s="626">
        <f>B24-F24</f>
        <v>235377</v>
      </c>
      <c r="I24" s="626"/>
      <c r="J24" s="625"/>
      <c r="K24" s="625"/>
    </row>
    <row r="25" spans="1:11" s="68" customFormat="1" ht="52.5" hidden="1" customHeight="1">
      <c r="A25" s="67" t="s">
        <v>423</v>
      </c>
      <c r="B25" s="625">
        <f ca="1">'anexa 9'!D29+'anexa 9'!F29</f>
        <v>-31760.999999999996</v>
      </c>
      <c r="C25" s="625"/>
      <c r="D25" s="65" t="s">
        <v>217</v>
      </c>
      <c r="E25" s="65" t="s">
        <v>420</v>
      </c>
      <c r="F25" s="625">
        <f ca="1">'anexa 1intermediar'!H31</f>
        <v>0</v>
      </c>
      <c r="G25" s="625"/>
      <c r="H25" s="626">
        <f>B25-F25</f>
        <v>-31760.999999999996</v>
      </c>
      <c r="I25" s="626"/>
      <c r="J25" s="625"/>
      <c r="K25" s="625"/>
    </row>
    <row r="26" spans="1:11" ht="51" hidden="1" customHeight="1">
      <c r="A26" s="67" t="s">
        <v>425</v>
      </c>
      <c r="B26" s="625">
        <f ca="1">'anexa 9'!E29+'anexa 9'!G29</f>
        <v>235377</v>
      </c>
      <c r="C26" s="625"/>
      <c r="D26" s="65" t="s">
        <v>217</v>
      </c>
      <c r="E26" s="65" t="s">
        <v>422</v>
      </c>
      <c r="F26" s="625">
        <f ca="1">'anexa 1intermediar'!H66</f>
        <v>0</v>
      </c>
      <c r="G26" s="625"/>
      <c r="H26" s="626">
        <f>B26-F26</f>
        <v>235377</v>
      </c>
      <c r="I26" s="626"/>
      <c r="J26" s="625"/>
      <c r="K26" s="625"/>
    </row>
    <row r="27" spans="1:11" hidden="1"/>
    <row r="28" spans="1:11" hidden="1"/>
    <row r="29" spans="1:11" hidden="1"/>
  </sheetData>
  <mergeCells count="31">
    <mergeCell ref="H2:I2"/>
    <mergeCell ref="J3:K4"/>
    <mergeCell ref="J5:K8"/>
    <mergeCell ref="H9:I9"/>
    <mergeCell ref="F9:G9"/>
    <mergeCell ref="B9:C9"/>
    <mergeCell ref="J9:K12"/>
    <mergeCell ref="J13:K16"/>
    <mergeCell ref="B10:C10"/>
    <mergeCell ref="F10:G10"/>
    <mergeCell ref="H10:I10"/>
    <mergeCell ref="B11:C11"/>
    <mergeCell ref="B12:C12"/>
    <mergeCell ref="F11:G11"/>
    <mergeCell ref="H11:I11"/>
    <mergeCell ref="H12:I12"/>
    <mergeCell ref="F12:G12"/>
    <mergeCell ref="J23:K26"/>
    <mergeCell ref="J17:K20"/>
    <mergeCell ref="F25:G25"/>
    <mergeCell ref="H25:I25"/>
    <mergeCell ref="B23:C23"/>
    <mergeCell ref="F23:G23"/>
    <mergeCell ref="H23:I23"/>
    <mergeCell ref="B26:C26"/>
    <mergeCell ref="F26:G26"/>
    <mergeCell ref="H26:I26"/>
    <mergeCell ref="B24:C24"/>
    <mergeCell ref="F24:G24"/>
    <mergeCell ref="H24:I24"/>
    <mergeCell ref="B25:C25"/>
  </mergeCells>
  <phoneticPr fontId="21" type="noConversion"/>
  <pageMargins left="0.7" right="0.7" top="0.75" bottom="0.75" header="0.3" footer="0.3"/>
  <pageSetup orientation="landscape" verticalDpi="4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N70"/>
  <sheetViews>
    <sheetView workbookViewId="0"/>
  </sheetViews>
  <sheetFormatPr defaultRowHeight="12.75"/>
  <cols>
    <col min="1" max="1" width="5" style="86" customWidth="1"/>
    <col min="2" max="2" width="2.28515625" style="1" customWidth="1"/>
    <col min="3" max="3" width="3" style="1" customWidth="1"/>
    <col min="4" max="4" width="7.85546875" style="1" customWidth="1"/>
    <col min="5" max="5" width="43.28515625" style="1" customWidth="1"/>
    <col min="6" max="6" width="3.7109375" style="1" customWidth="1"/>
    <col min="7" max="7" width="12" style="1" customWidth="1"/>
    <col min="8" max="8" width="11.28515625" style="1" customWidth="1"/>
    <col min="9" max="9" width="8.28515625" style="48" customWidth="1"/>
    <col min="10" max="10" width="10.140625" style="1" customWidth="1"/>
    <col min="11" max="11" width="9.7109375" style="1" customWidth="1"/>
    <col min="12" max="12" width="9.28515625" style="86" customWidth="1"/>
    <col min="13" max="13" width="11" style="86" customWidth="1"/>
    <col min="14" max="16384" width="9.140625" style="1"/>
  </cols>
  <sheetData>
    <row r="2" spans="1:13">
      <c r="B2" s="452" t="s">
        <v>733</v>
      </c>
      <c r="C2" s="452"/>
      <c r="D2" s="452"/>
      <c r="E2" s="452"/>
    </row>
    <row r="3" spans="1:13">
      <c r="B3" s="452" t="s">
        <v>734</v>
      </c>
      <c r="C3" s="452"/>
      <c r="D3" s="452"/>
      <c r="E3" s="452"/>
      <c r="L3" s="51" t="s">
        <v>50</v>
      </c>
    </row>
    <row r="4" spans="1:13">
      <c r="B4" s="452" t="s">
        <v>735</v>
      </c>
      <c r="C4" s="452"/>
      <c r="D4" s="452"/>
      <c r="E4" s="452"/>
    </row>
    <row r="5" spans="1:13">
      <c r="B5" s="85"/>
      <c r="C5" s="85"/>
      <c r="D5" s="85"/>
      <c r="E5" s="453" t="s">
        <v>1</v>
      </c>
      <c r="F5" s="453"/>
      <c r="G5" s="453"/>
      <c r="H5" s="453"/>
      <c r="I5" s="453"/>
      <c r="J5" s="453"/>
      <c r="K5" s="453"/>
    </row>
    <row r="6" spans="1:13">
      <c r="B6" s="85"/>
      <c r="C6" s="85"/>
      <c r="D6" s="85"/>
      <c r="E6" s="453" t="s">
        <v>2</v>
      </c>
      <c r="F6" s="453"/>
      <c r="G6" s="453"/>
      <c r="H6" s="453"/>
      <c r="I6" s="453"/>
      <c r="J6" s="453"/>
    </row>
    <row r="7" spans="1:13">
      <c r="B7" s="85"/>
      <c r="C7" s="85"/>
      <c r="D7" s="85"/>
      <c r="E7" s="86"/>
      <c r="F7" s="86"/>
      <c r="G7" s="86"/>
      <c r="H7" s="86"/>
      <c r="I7" s="86"/>
      <c r="J7" s="86"/>
    </row>
    <row r="9" spans="1:13" ht="13.5" thickBot="1">
      <c r="L9" s="52" t="s">
        <v>95</v>
      </c>
    </row>
    <row r="10" spans="1:13" s="31" customFormat="1" ht="13.5" thickBot="1">
      <c r="A10" s="454"/>
      <c r="B10" s="455"/>
      <c r="C10" s="456"/>
      <c r="D10" s="454" t="s">
        <v>60</v>
      </c>
      <c r="E10" s="456"/>
      <c r="F10" s="460" t="s">
        <v>252</v>
      </c>
      <c r="G10" s="460" t="s">
        <v>193</v>
      </c>
      <c r="H10" s="460" t="s">
        <v>194</v>
      </c>
      <c r="I10" s="466" t="s">
        <v>253</v>
      </c>
      <c r="J10" s="460" t="s">
        <v>196</v>
      </c>
      <c r="K10" s="460" t="s">
        <v>195</v>
      </c>
      <c r="L10" s="463" t="s">
        <v>253</v>
      </c>
      <c r="M10" s="464"/>
    </row>
    <row r="11" spans="1:13" s="31" customFormat="1" ht="51" customHeight="1" thickBot="1">
      <c r="A11" s="457"/>
      <c r="B11" s="458"/>
      <c r="C11" s="459"/>
      <c r="D11" s="457"/>
      <c r="E11" s="459"/>
      <c r="F11" s="461"/>
      <c r="G11" s="461"/>
      <c r="H11" s="461"/>
      <c r="I11" s="467"/>
      <c r="J11" s="461"/>
      <c r="K11" s="461"/>
      <c r="L11" s="30" t="s">
        <v>172</v>
      </c>
      <c r="M11" s="30" t="s">
        <v>173</v>
      </c>
    </row>
    <row r="12" spans="1:13" ht="13.5" thickBot="1">
      <c r="A12" s="3" t="s">
        <v>96</v>
      </c>
      <c r="B12" s="450" t="s">
        <v>3</v>
      </c>
      <c r="C12" s="451"/>
      <c r="D12" s="450" t="s">
        <v>71</v>
      </c>
      <c r="E12" s="451"/>
      <c r="F12" s="3">
        <v>3</v>
      </c>
      <c r="G12" s="3">
        <v>4</v>
      </c>
      <c r="H12" s="3">
        <v>5</v>
      </c>
      <c r="I12" s="24" t="s">
        <v>171</v>
      </c>
      <c r="J12" s="3" t="s">
        <v>4</v>
      </c>
      <c r="K12" s="3">
        <v>8</v>
      </c>
      <c r="L12" s="3" t="s">
        <v>92</v>
      </c>
      <c r="M12" s="3">
        <v>10</v>
      </c>
    </row>
    <row r="13" spans="1:13" s="47" customFormat="1">
      <c r="A13" s="56" t="s">
        <v>254</v>
      </c>
      <c r="B13" s="87"/>
      <c r="C13" s="87"/>
      <c r="D13" s="465" t="s">
        <v>255</v>
      </c>
      <c r="E13" s="465"/>
      <c r="F13" s="87">
        <v>1</v>
      </c>
      <c r="G13" s="112">
        <f>G14+G15+G16</f>
        <v>195302860</v>
      </c>
      <c r="H13" s="112">
        <f>H14+H15+H16</f>
        <v>0</v>
      </c>
      <c r="I13" s="49">
        <f>H13/G13</f>
        <v>0</v>
      </c>
      <c r="J13" s="112">
        <f>H13*1.03</f>
        <v>0</v>
      </c>
      <c r="K13" s="112">
        <f>J13*1.025</f>
        <v>0</v>
      </c>
      <c r="L13" s="149" t="e">
        <f>J13/H13</f>
        <v>#DIV/0!</v>
      </c>
      <c r="M13" s="150" t="e">
        <f>K13/J13</f>
        <v>#DIV/0!</v>
      </c>
    </row>
    <row r="14" spans="1:13">
      <c r="A14" s="468"/>
      <c r="B14" s="89" t="s">
        <v>3</v>
      </c>
      <c r="C14" s="89"/>
      <c r="D14" s="469" t="s">
        <v>256</v>
      </c>
      <c r="E14" s="469"/>
      <c r="F14" s="89">
        <v>2</v>
      </c>
      <c r="G14" s="113">
        <f ca="1">'anexa 2intermediar'!H13</f>
        <v>194582856</v>
      </c>
      <c r="H14" s="113">
        <f ca="1">'anexa 2intermediar'!I13</f>
        <v>0</v>
      </c>
      <c r="I14" s="50">
        <f t="shared" ref="I14:I65" si="0">H14/G14</f>
        <v>0</v>
      </c>
      <c r="J14" s="122">
        <f t="shared" ref="J14:J36" si="1">H14*1.03</f>
        <v>0</v>
      </c>
      <c r="K14" s="122">
        <f t="shared" ref="K14:K36" si="2">J14*1.025</f>
        <v>0</v>
      </c>
      <c r="L14" s="151" t="e">
        <f t="shared" ref="L14:L65" si="3">J14/H14</f>
        <v>#DIV/0!</v>
      </c>
      <c r="M14" s="152" t="e">
        <f t="shared" ref="M14:M65" si="4">K14/J14</f>
        <v>#DIV/0!</v>
      </c>
    </row>
    <row r="15" spans="1:13">
      <c r="A15" s="468"/>
      <c r="B15" s="89" t="s">
        <v>71</v>
      </c>
      <c r="C15" s="89"/>
      <c r="D15" s="469" t="s">
        <v>257</v>
      </c>
      <c r="E15" s="469"/>
      <c r="F15" s="89">
        <v>3</v>
      </c>
      <c r="G15" s="113">
        <f ca="1">'anexa 2intermediar'!H34</f>
        <v>720004</v>
      </c>
      <c r="H15" s="113">
        <f ca="1">'anexa 2intermediar'!I34</f>
        <v>0</v>
      </c>
      <c r="I15" s="50">
        <f t="shared" si="0"/>
        <v>0</v>
      </c>
      <c r="J15" s="122">
        <f t="shared" si="1"/>
        <v>0</v>
      </c>
      <c r="K15" s="122">
        <f t="shared" si="2"/>
        <v>0</v>
      </c>
      <c r="L15" s="151" t="e">
        <f t="shared" si="3"/>
        <v>#DIV/0!</v>
      </c>
      <c r="M15" s="152" t="e">
        <f t="shared" si="4"/>
        <v>#DIV/0!</v>
      </c>
    </row>
    <row r="16" spans="1:13">
      <c r="A16" s="468"/>
      <c r="B16" s="89" t="s">
        <v>65</v>
      </c>
      <c r="C16" s="89"/>
      <c r="D16" s="469" t="s">
        <v>258</v>
      </c>
      <c r="E16" s="469"/>
      <c r="F16" s="89">
        <v>4</v>
      </c>
      <c r="G16" s="113">
        <f ca="1">'anexa 2intermediar'!H40</f>
        <v>0</v>
      </c>
      <c r="H16" s="113">
        <f ca="1">'anexa 2intermediar'!I40</f>
        <v>0</v>
      </c>
      <c r="I16" s="84"/>
      <c r="J16" s="122">
        <f t="shared" si="1"/>
        <v>0</v>
      </c>
      <c r="K16" s="122">
        <f t="shared" si="2"/>
        <v>0</v>
      </c>
      <c r="L16" s="151"/>
      <c r="M16" s="152"/>
    </row>
    <row r="17" spans="1:13" s="47" customFormat="1">
      <c r="A17" s="57" t="s">
        <v>77</v>
      </c>
      <c r="B17" s="90"/>
      <c r="C17" s="90"/>
      <c r="D17" s="462" t="s">
        <v>200</v>
      </c>
      <c r="E17" s="462"/>
      <c r="F17" s="90">
        <v>5</v>
      </c>
      <c r="G17" s="114">
        <f ca="1">G18+G29+G30</f>
        <v>227112606</v>
      </c>
      <c r="H17" s="114">
        <f ca="1">H18+H29+H30</f>
        <v>0</v>
      </c>
      <c r="I17" s="50">
        <f t="shared" si="0"/>
        <v>0</v>
      </c>
      <c r="J17" s="112">
        <f t="shared" si="1"/>
        <v>0</v>
      </c>
      <c r="K17" s="112">
        <f t="shared" si="2"/>
        <v>0</v>
      </c>
      <c r="L17" s="151" t="e">
        <f t="shared" si="3"/>
        <v>#DIV/0!</v>
      </c>
      <c r="M17" s="152" t="e">
        <f t="shared" si="4"/>
        <v>#DIV/0!</v>
      </c>
    </row>
    <row r="18" spans="1:13" ht="15" customHeight="1">
      <c r="A18" s="468"/>
      <c r="B18" s="89" t="s">
        <v>3</v>
      </c>
      <c r="C18" s="89"/>
      <c r="D18" s="469" t="s">
        <v>259</v>
      </c>
      <c r="E18" s="469"/>
      <c r="F18" s="89">
        <v>6</v>
      </c>
      <c r="G18" s="113">
        <f ca="1">'anexa 2intermediar'!H42</f>
        <v>220193588</v>
      </c>
      <c r="H18" s="113">
        <f ca="1">'anexa 2intermediar'!I42</f>
        <v>0</v>
      </c>
      <c r="I18" s="50">
        <f t="shared" si="0"/>
        <v>0</v>
      </c>
      <c r="J18" s="122">
        <f t="shared" si="1"/>
        <v>0</v>
      </c>
      <c r="K18" s="122">
        <f t="shared" si="2"/>
        <v>0</v>
      </c>
      <c r="L18" s="151" t="e">
        <f t="shared" si="3"/>
        <v>#DIV/0!</v>
      </c>
      <c r="M18" s="152" t="e">
        <f t="shared" si="4"/>
        <v>#DIV/0!</v>
      </c>
    </row>
    <row r="19" spans="1:13">
      <c r="A19" s="468"/>
      <c r="B19" s="469"/>
      <c r="C19" s="89" t="s">
        <v>260</v>
      </c>
      <c r="D19" s="469" t="s">
        <v>261</v>
      </c>
      <c r="E19" s="469"/>
      <c r="F19" s="89">
        <v>7</v>
      </c>
      <c r="G19" s="113">
        <f ca="1">'anexa 2intermediar'!H43</f>
        <v>147910817</v>
      </c>
      <c r="H19" s="113">
        <f ca="1">'anexa 2intermediar'!I43</f>
        <v>0</v>
      </c>
      <c r="I19" s="50">
        <f t="shared" si="0"/>
        <v>0</v>
      </c>
      <c r="J19" s="122">
        <f t="shared" si="1"/>
        <v>0</v>
      </c>
      <c r="K19" s="122">
        <f t="shared" si="2"/>
        <v>0</v>
      </c>
      <c r="L19" s="151" t="e">
        <f t="shared" si="3"/>
        <v>#DIV/0!</v>
      </c>
      <c r="M19" s="152" t="e">
        <f t="shared" si="4"/>
        <v>#DIV/0!</v>
      </c>
    </row>
    <row r="20" spans="1:13">
      <c r="A20" s="468"/>
      <c r="B20" s="469"/>
      <c r="C20" s="89" t="s">
        <v>262</v>
      </c>
      <c r="D20" s="469" t="s">
        <v>263</v>
      </c>
      <c r="E20" s="469"/>
      <c r="F20" s="89">
        <v>8</v>
      </c>
      <c r="G20" s="113">
        <f ca="1">'anexa 2intermediar'!H91</f>
        <v>1683469</v>
      </c>
      <c r="H20" s="113">
        <f ca="1">'anexa 2intermediar'!I91</f>
        <v>0</v>
      </c>
      <c r="I20" s="50">
        <f t="shared" si="0"/>
        <v>0</v>
      </c>
      <c r="J20" s="122">
        <f t="shared" si="1"/>
        <v>0</v>
      </c>
      <c r="K20" s="122">
        <f t="shared" si="2"/>
        <v>0</v>
      </c>
      <c r="L20" s="151" t="e">
        <f t="shared" si="3"/>
        <v>#DIV/0!</v>
      </c>
      <c r="M20" s="152" t="e">
        <f t="shared" si="4"/>
        <v>#DIV/0!</v>
      </c>
    </row>
    <row r="21" spans="1:13" ht="15.75" customHeight="1">
      <c r="A21" s="468"/>
      <c r="B21" s="469"/>
      <c r="C21" s="89" t="s">
        <v>264</v>
      </c>
      <c r="D21" s="469" t="s">
        <v>265</v>
      </c>
      <c r="E21" s="469"/>
      <c r="F21" s="89">
        <v>9</v>
      </c>
      <c r="G21" s="113">
        <f ca="1">'anexa 2intermediar'!H98</f>
        <v>54439557</v>
      </c>
      <c r="H21" s="113">
        <f ca="1">'anexa 2intermediar'!I98</f>
        <v>0</v>
      </c>
      <c r="I21" s="50">
        <f t="shared" si="0"/>
        <v>0</v>
      </c>
      <c r="J21" s="122">
        <f t="shared" si="1"/>
        <v>0</v>
      </c>
      <c r="K21" s="122">
        <f t="shared" si="2"/>
        <v>0</v>
      </c>
      <c r="L21" s="151" t="e">
        <f t="shared" si="3"/>
        <v>#DIV/0!</v>
      </c>
      <c r="M21" s="152" t="e">
        <f t="shared" si="4"/>
        <v>#DIV/0!</v>
      </c>
    </row>
    <row r="22" spans="1:13">
      <c r="A22" s="468"/>
      <c r="B22" s="469"/>
      <c r="C22" s="469"/>
      <c r="D22" s="89" t="s">
        <v>163</v>
      </c>
      <c r="E22" s="89" t="s">
        <v>266</v>
      </c>
      <c r="F22" s="89">
        <v>10</v>
      </c>
      <c r="G22" s="113">
        <f ca="1">'anexa 2intermediar'!H99</f>
        <v>35426767</v>
      </c>
      <c r="H22" s="113">
        <f ca="1">'anexa 2intermediar'!I99</f>
        <v>0</v>
      </c>
      <c r="I22" s="50">
        <f t="shared" si="0"/>
        <v>0</v>
      </c>
      <c r="J22" s="122">
        <f t="shared" si="1"/>
        <v>0</v>
      </c>
      <c r="K22" s="122">
        <f t="shared" si="2"/>
        <v>0</v>
      </c>
      <c r="L22" s="151" t="e">
        <f t="shared" si="3"/>
        <v>#DIV/0!</v>
      </c>
      <c r="M22" s="152" t="e">
        <f t="shared" si="4"/>
        <v>#DIV/0!</v>
      </c>
    </row>
    <row r="23" spans="1:13">
      <c r="A23" s="468"/>
      <c r="B23" s="469"/>
      <c r="C23" s="469"/>
      <c r="D23" s="89" t="s">
        <v>197</v>
      </c>
      <c r="E23" s="89" t="s">
        <v>211</v>
      </c>
      <c r="F23" s="89">
        <v>11</v>
      </c>
      <c r="G23" s="113">
        <f ca="1">'anexa 2intermediar'!H103</f>
        <v>2723500</v>
      </c>
      <c r="H23" s="113">
        <f ca="1">'anexa 2intermediar'!I103</f>
        <v>0</v>
      </c>
      <c r="I23" s="50">
        <f t="shared" si="0"/>
        <v>0</v>
      </c>
      <c r="J23" s="122">
        <f t="shared" si="1"/>
        <v>0</v>
      </c>
      <c r="K23" s="122">
        <f t="shared" si="2"/>
        <v>0</v>
      </c>
      <c r="L23" s="151" t="e">
        <f t="shared" si="3"/>
        <v>#DIV/0!</v>
      </c>
      <c r="M23" s="152" t="e">
        <f t="shared" si="4"/>
        <v>#DIV/0!</v>
      </c>
    </row>
    <row r="24" spans="1:13">
      <c r="A24" s="468"/>
      <c r="B24" s="469"/>
      <c r="C24" s="469"/>
      <c r="D24" s="89" t="s">
        <v>267</v>
      </c>
      <c r="E24" s="89" t="s">
        <v>268</v>
      </c>
      <c r="F24" s="89">
        <v>12</v>
      </c>
      <c r="G24" s="113">
        <f ca="1">'anexa 2intermediar'!H111</f>
        <v>4359585</v>
      </c>
      <c r="H24" s="113">
        <f ca="1">'anexa 2intermediar'!I111</f>
        <v>0</v>
      </c>
      <c r="I24" s="50"/>
      <c r="J24" s="122">
        <f t="shared" si="1"/>
        <v>0</v>
      </c>
      <c r="K24" s="122">
        <f t="shared" si="2"/>
        <v>0</v>
      </c>
      <c r="L24" s="151"/>
      <c r="M24" s="152"/>
    </row>
    <row r="25" spans="1:13" ht="25.5">
      <c r="A25" s="468"/>
      <c r="B25" s="469"/>
      <c r="C25" s="469"/>
      <c r="D25" s="89"/>
      <c r="E25" s="91" t="s">
        <v>91</v>
      </c>
      <c r="F25" s="89">
        <v>13</v>
      </c>
      <c r="G25" s="113">
        <f ca="1">'anexa 2intermediar'!H112</f>
        <v>1845025</v>
      </c>
      <c r="H25" s="113">
        <f ca="1">'anexa 2intermediar'!I112</f>
        <v>0</v>
      </c>
      <c r="I25" s="50"/>
      <c r="J25" s="122">
        <f t="shared" si="1"/>
        <v>0</v>
      </c>
      <c r="K25" s="122">
        <f t="shared" si="2"/>
        <v>0</v>
      </c>
      <c r="L25" s="151"/>
      <c r="M25" s="152"/>
    </row>
    <row r="26" spans="1:13">
      <c r="A26" s="468"/>
      <c r="B26" s="469"/>
      <c r="C26" s="469"/>
      <c r="D26" s="89" t="s">
        <v>188</v>
      </c>
      <c r="E26" s="89" t="s">
        <v>269</v>
      </c>
      <c r="F26" s="89">
        <v>14</v>
      </c>
      <c r="G26" s="113">
        <f ca="1">'anexa 2intermediar'!H115</f>
        <v>561656</v>
      </c>
      <c r="H26" s="113">
        <f ca="1">'anexa 2intermediar'!I115</f>
        <v>0</v>
      </c>
      <c r="I26" s="50">
        <f t="shared" si="0"/>
        <v>0</v>
      </c>
      <c r="J26" s="122">
        <f t="shared" si="1"/>
        <v>0</v>
      </c>
      <c r="K26" s="122">
        <f t="shared" si="2"/>
        <v>0</v>
      </c>
      <c r="L26" s="151" t="e">
        <f t="shared" si="3"/>
        <v>#DIV/0!</v>
      </c>
      <c r="M26" s="152" t="e">
        <f t="shared" si="4"/>
        <v>#DIV/0!</v>
      </c>
    </row>
    <row r="27" spans="1:13" ht="25.5">
      <c r="A27" s="468"/>
      <c r="B27" s="469"/>
      <c r="C27" s="469"/>
      <c r="D27" s="89" t="s">
        <v>198</v>
      </c>
      <c r="E27" s="91" t="s">
        <v>199</v>
      </c>
      <c r="F27" s="89">
        <v>15</v>
      </c>
      <c r="G27" s="113">
        <f ca="1">'anexa 2intermediar'!H120</f>
        <v>11368049</v>
      </c>
      <c r="H27" s="113">
        <f ca="1">'anexa 2intermediar'!I120</f>
        <v>0</v>
      </c>
      <c r="I27" s="50">
        <f t="shared" si="0"/>
        <v>0</v>
      </c>
      <c r="J27" s="122">
        <f t="shared" si="1"/>
        <v>0</v>
      </c>
      <c r="K27" s="122">
        <f t="shared" si="2"/>
        <v>0</v>
      </c>
      <c r="L27" s="151" t="e">
        <f t="shared" si="3"/>
        <v>#DIV/0!</v>
      </c>
      <c r="M27" s="152" t="e">
        <f t="shared" si="4"/>
        <v>#DIV/0!</v>
      </c>
    </row>
    <row r="28" spans="1:13">
      <c r="A28" s="468"/>
      <c r="B28" s="469"/>
      <c r="C28" s="89" t="s">
        <v>270</v>
      </c>
      <c r="D28" s="469" t="s">
        <v>271</v>
      </c>
      <c r="E28" s="469"/>
      <c r="F28" s="89">
        <v>16</v>
      </c>
      <c r="G28" s="113">
        <f ca="1">'anexa 2intermediar'!H127</f>
        <v>16159745</v>
      </c>
      <c r="H28" s="113">
        <f ca="1">'anexa 2intermediar'!I127</f>
        <v>0</v>
      </c>
      <c r="I28" s="50">
        <f t="shared" si="0"/>
        <v>0</v>
      </c>
      <c r="J28" s="122">
        <f t="shared" si="1"/>
        <v>0</v>
      </c>
      <c r="K28" s="122">
        <f t="shared" si="2"/>
        <v>0</v>
      </c>
      <c r="L28" s="151" t="e">
        <f t="shared" si="3"/>
        <v>#DIV/0!</v>
      </c>
      <c r="M28" s="152" t="e">
        <f t="shared" si="4"/>
        <v>#DIV/0!</v>
      </c>
    </row>
    <row r="29" spans="1:13">
      <c r="A29" s="468"/>
      <c r="B29" s="89" t="s">
        <v>71</v>
      </c>
      <c r="C29" s="89"/>
      <c r="D29" s="469" t="s">
        <v>272</v>
      </c>
      <c r="E29" s="469"/>
      <c r="F29" s="89">
        <v>17</v>
      </c>
      <c r="G29" s="113">
        <f ca="1">'anexa 2intermediar'!H142</f>
        <v>6919018</v>
      </c>
      <c r="H29" s="113">
        <f ca="1">'anexa 2intermediar'!I142</f>
        <v>0</v>
      </c>
      <c r="I29" s="50">
        <f t="shared" si="0"/>
        <v>0</v>
      </c>
      <c r="J29" s="122">
        <f t="shared" si="1"/>
        <v>0</v>
      </c>
      <c r="K29" s="122">
        <f t="shared" si="2"/>
        <v>0</v>
      </c>
      <c r="L29" s="151" t="e">
        <f t="shared" si="3"/>
        <v>#DIV/0!</v>
      </c>
      <c r="M29" s="152" t="e">
        <f t="shared" si="4"/>
        <v>#DIV/0!</v>
      </c>
    </row>
    <row r="30" spans="1:13">
      <c r="A30" s="468"/>
      <c r="B30" s="89" t="s">
        <v>65</v>
      </c>
      <c r="C30" s="89"/>
      <c r="D30" s="469" t="s">
        <v>273</v>
      </c>
      <c r="E30" s="469"/>
      <c r="F30" s="89">
        <v>18</v>
      </c>
      <c r="G30" s="113">
        <f ca="1">'anexa 2intermediar'!H150</f>
        <v>0</v>
      </c>
      <c r="H30" s="113">
        <f ca="1">'anexa 2intermediar'!I150</f>
        <v>0</v>
      </c>
      <c r="I30" s="50"/>
      <c r="J30" s="122">
        <f t="shared" si="1"/>
        <v>0</v>
      </c>
      <c r="K30" s="122">
        <f t="shared" si="2"/>
        <v>0</v>
      </c>
      <c r="L30" s="151"/>
      <c r="M30" s="152"/>
    </row>
    <row r="31" spans="1:13" s="47" customFormat="1">
      <c r="A31" s="57" t="s">
        <v>274</v>
      </c>
      <c r="B31" s="90"/>
      <c r="C31" s="90"/>
      <c r="D31" s="462" t="s">
        <v>275</v>
      </c>
      <c r="E31" s="462"/>
      <c r="F31" s="90">
        <v>19</v>
      </c>
      <c r="G31" s="114">
        <f ca="1">G13-G17</f>
        <v>-31809746</v>
      </c>
      <c r="H31" s="114">
        <f ca="1">H13-H17</f>
        <v>0</v>
      </c>
      <c r="I31" s="49">
        <f t="shared" si="0"/>
        <v>0</v>
      </c>
      <c r="J31" s="112">
        <f t="shared" si="1"/>
        <v>0</v>
      </c>
      <c r="K31" s="112">
        <f t="shared" si="2"/>
        <v>0</v>
      </c>
      <c r="L31" s="149" t="e">
        <f t="shared" si="3"/>
        <v>#DIV/0!</v>
      </c>
      <c r="M31" s="150" t="e">
        <f t="shared" si="4"/>
        <v>#DIV/0!</v>
      </c>
    </row>
    <row r="32" spans="1:13" s="47" customFormat="1" ht="15.75" customHeight="1">
      <c r="A32" s="57" t="s">
        <v>276</v>
      </c>
      <c r="B32" s="90"/>
      <c r="C32" s="90"/>
      <c r="D32" s="462" t="s">
        <v>277</v>
      </c>
      <c r="E32" s="462"/>
      <c r="F32" s="90">
        <v>20</v>
      </c>
      <c r="G32" s="114">
        <f ca="1">'anexa 2intermediar'!H153</f>
        <v>0</v>
      </c>
      <c r="H32" s="114">
        <f ca="1">'anexa 2intermediar'!I153</f>
        <v>0</v>
      </c>
      <c r="I32" s="49" t="e">
        <f t="shared" si="0"/>
        <v>#DIV/0!</v>
      </c>
      <c r="J32" s="112">
        <f t="shared" si="1"/>
        <v>0</v>
      </c>
      <c r="K32" s="112">
        <f t="shared" si="2"/>
        <v>0</v>
      </c>
      <c r="L32" s="149" t="e">
        <f t="shared" si="3"/>
        <v>#DIV/0!</v>
      </c>
      <c r="M32" s="150" t="e">
        <f t="shared" si="4"/>
        <v>#DIV/0!</v>
      </c>
    </row>
    <row r="33" spans="1:14" s="47" customFormat="1" ht="29.25" customHeight="1">
      <c r="A33" s="57" t="s">
        <v>278</v>
      </c>
      <c r="B33" s="90"/>
      <c r="C33" s="90"/>
      <c r="D33" s="470" t="s">
        <v>201</v>
      </c>
      <c r="E33" s="470"/>
      <c r="F33" s="90">
        <v>21</v>
      </c>
      <c r="G33" s="114">
        <f>G31-G32</f>
        <v>-31809746</v>
      </c>
      <c r="H33" s="114">
        <f>H31-H32</f>
        <v>0</v>
      </c>
      <c r="I33" s="49">
        <f t="shared" si="0"/>
        <v>0</v>
      </c>
      <c r="J33" s="112">
        <f t="shared" si="1"/>
        <v>0</v>
      </c>
      <c r="K33" s="112">
        <f t="shared" si="2"/>
        <v>0</v>
      </c>
      <c r="L33" s="149" t="e">
        <f t="shared" si="3"/>
        <v>#DIV/0!</v>
      </c>
      <c r="M33" s="150" t="e">
        <f t="shared" si="4"/>
        <v>#DIV/0!</v>
      </c>
    </row>
    <row r="34" spans="1:14">
      <c r="A34" s="468"/>
      <c r="B34" s="89" t="s">
        <v>3</v>
      </c>
      <c r="C34" s="89"/>
      <c r="D34" s="469" t="s">
        <v>279</v>
      </c>
      <c r="E34" s="469"/>
      <c r="F34" s="89">
        <v>22</v>
      </c>
      <c r="G34" s="113"/>
      <c r="H34" s="115"/>
      <c r="I34" s="50" t="e">
        <f t="shared" si="0"/>
        <v>#DIV/0!</v>
      </c>
      <c r="J34" s="122">
        <f t="shared" si="1"/>
        <v>0</v>
      </c>
      <c r="K34" s="122">
        <f t="shared" si="2"/>
        <v>0</v>
      </c>
      <c r="L34" s="151" t="e">
        <f t="shared" si="3"/>
        <v>#DIV/0!</v>
      </c>
      <c r="M34" s="152" t="e">
        <f t="shared" si="4"/>
        <v>#DIV/0!</v>
      </c>
      <c r="N34" s="83"/>
    </row>
    <row r="35" spans="1:14" ht="24.75" customHeight="1">
      <c r="A35" s="468"/>
      <c r="B35" s="89" t="s">
        <v>71</v>
      </c>
      <c r="C35" s="89"/>
      <c r="D35" s="471" t="s">
        <v>280</v>
      </c>
      <c r="E35" s="471"/>
      <c r="F35" s="89">
        <v>23</v>
      </c>
      <c r="G35" s="113"/>
      <c r="H35" s="115"/>
      <c r="I35" s="50"/>
      <c r="J35" s="122">
        <f t="shared" si="1"/>
        <v>0</v>
      </c>
      <c r="K35" s="122">
        <f t="shared" si="2"/>
        <v>0</v>
      </c>
      <c r="L35" s="151"/>
      <c r="M35" s="152"/>
    </row>
    <row r="36" spans="1:14" ht="16.5" customHeight="1">
      <c r="A36" s="468"/>
      <c r="B36" s="89" t="s">
        <v>65</v>
      </c>
      <c r="C36" s="89"/>
      <c r="D36" s="469" t="s">
        <v>281</v>
      </c>
      <c r="E36" s="469"/>
      <c r="F36" s="89">
        <v>24</v>
      </c>
      <c r="G36" s="113"/>
      <c r="H36" s="115"/>
      <c r="I36" s="50"/>
      <c r="J36" s="122">
        <f t="shared" si="1"/>
        <v>0</v>
      </c>
      <c r="K36" s="122">
        <f t="shared" si="2"/>
        <v>0</v>
      </c>
      <c r="L36" s="151"/>
      <c r="M36" s="152"/>
    </row>
    <row r="37" spans="1:14" ht="66.75" customHeight="1">
      <c r="A37" s="468"/>
      <c r="B37" s="89" t="s">
        <v>66</v>
      </c>
      <c r="C37" s="89"/>
      <c r="D37" s="471" t="s">
        <v>700</v>
      </c>
      <c r="E37" s="471"/>
      <c r="F37" s="89">
        <v>25</v>
      </c>
      <c r="G37" s="113">
        <f>G33-G34-G40</f>
        <v>-31809746</v>
      </c>
      <c r="H37" s="113">
        <f>H33-H34-H40</f>
        <v>0</v>
      </c>
      <c r="I37" s="50">
        <f t="shared" si="0"/>
        <v>0</v>
      </c>
      <c r="J37" s="113">
        <f>J33-J34-J40</f>
        <v>0</v>
      </c>
      <c r="K37" s="122">
        <f>K33-K34-K39</f>
        <v>0</v>
      </c>
      <c r="L37" s="151" t="e">
        <f t="shared" si="3"/>
        <v>#DIV/0!</v>
      </c>
      <c r="M37" s="152" t="e">
        <f t="shared" si="4"/>
        <v>#DIV/0!</v>
      </c>
    </row>
    <row r="38" spans="1:14">
      <c r="A38" s="468"/>
      <c r="B38" s="89" t="s">
        <v>80</v>
      </c>
      <c r="C38" s="89"/>
      <c r="D38" s="469" t="s">
        <v>282</v>
      </c>
      <c r="E38" s="469"/>
      <c r="F38" s="89">
        <v>26</v>
      </c>
      <c r="G38" s="113"/>
      <c r="H38" s="115"/>
      <c r="I38" s="50"/>
      <c r="J38" s="115"/>
      <c r="K38" s="113"/>
      <c r="L38" s="151"/>
      <c r="M38" s="152"/>
    </row>
    <row r="39" spans="1:14" ht="30" customHeight="1">
      <c r="A39" s="468"/>
      <c r="B39" s="89" t="s">
        <v>68</v>
      </c>
      <c r="C39" s="89"/>
      <c r="D39" s="471" t="s">
        <v>283</v>
      </c>
      <c r="E39" s="471"/>
      <c r="F39" s="89">
        <v>27</v>
      </c>
      <c r="G39" s="113">
        <f>G33-G34-G35-G36-G37-G38</f>
        <v>0</v>
      </c>
      <c r="H39" s="113"/>
      <c r="I39" s="50" t="e">
        <f t="shared" si="0"/>
        <v>#DIV/0!</v>
      </c>
      <c r="J39" s="113"/>
      <c r="K39" s="113"/>
      <c r="L39" s="151" t="e">
        <f t="shared" si="3"/>
        <v>#DIV/0!</v>
      </c>
      <c r="M39" s="152" t="e">
        <f t="shared" si="4"/>
        <v>#DIV/0!</v>
      </c>
    </row>
    <row r="40" spans="1:14" ht="55.5" customHeight="1">
      <c r="A40" s="468"/>
      <c r="B40" s="89" t="s">
        <v>4</v>
      </c>
      <c r="C40" s="89"/>
      <c r="D40" s="471" t="s">
        <v>284</v>
      </c>
      <c r="E40" s="471"/>
      <c r="F40" s="89">
        <v>28</v>
      </c>
      <c r="G40" s="113"/>
      <c r="H40" s="116"/>
      <c r="I40" s="50" t="e">
        <f t="shared" si="0"/>
        <v>#DIV/0!</v>
      </c>
      <c r="J40" s="116"/>
      <c r="K40" s="113"/>
      <c r="L40" s="151" t="e">
        <f t="shared" si="3"/>
        <v>#DIV/0!</v>
      </c>
      <c r="M40" s="152" t="e">
        <f t="shared" si="4"/>
        <v>#DIV/0!</v>
      </c>
    </row>
    <row r="41" spans="1:14" ht="65.25" customHeight="1">
      <c r="A41" s="468"/>
      <c r="B41" s="89" t="s">
        <v>68</v>
      </c>
      <c r="C41" s="89"/>
      <c r="D41" s="471" t="s">
        <v>285</v>
      </c>
      <c r="E41" s="471"/>
      <c r="F41" s="89">
        <v>29</v>
      </c>
      <c r="G41" s="113">
        <v>0</v>
      </c>
      <c r="H41" s="115">
        <v>0</v>
      </c>
      <c r="I41" s="50"/>
      <c r="J41" s="115"/>
      <c r="K41" s="113"/>
      <c r="L41" s="151"/>
      <c r="M41" s="152"/>
    </row>
    <row r="42" spans="1:14">
      <c r="A42" s="468"/>
      <c r="B42" s="89"/>
      <c r="C42" s="89" t="s">
        <v>93</v>
      </c>
      <c r="D42" s="471" t="s">
        <v>286</v>
      </c>
      <c r="E42" s="471"/>
      <c r="F42" s="89">
        <v>30</v>
      </c>
      <c r="G42" s="113">
        <v>0</v>
      </c>
      <c r="H42" s="115">
        <v>0</v>
      </c>
      <c r="I42" s="50"/>
      <c r="J42" s="113">
        <v>0</v>
      </c>
      <c r="K42" s="115">
        <v>0</v>
      </c>
      <c r="L42" s="151"/>
      <c r="M42" s="152"/>
    </row>
    <row r="43" spans="1:14">
      <c r="A43" s="468"/>
      <c r="B43" s="89" t="s">
        <v>92</v>
      </c>
      <c r="C43" s="89"/>
      <c r="D43" s="472" t="s">
        <v>287</v>
      </c>
      <c r="E43" s="472"/>
      <c r="F43" s="89">
        <v>31</v>
      </c>
      <c r="G43" s="113">
        <v>0</v>
      </c>
      <c r="H43" s="115">
        <v>0</v>
      </c>
      <c r="I43" s="50"/>
      <c r="J43" s="113">
        <v>0</v>
      </c>
      <c r="K43" s="115">
        <v>0</v>
      </c>
      <c r="L43" s="151"/>
      <c r="M43" s="152"/>
    </row>
    <row r="44" spans="1:14" s="47" customFormat="1">
      <c r="A44" s="57" t="s">
        <v>288</v>
      </c>
      <c r="B44" s="90"/>
      <c r="C44" s="90"/>
      <c r="D44" s="462" t="s">
        <v>289</v>
      </c>
      <c r="E44" s="462"/>
      <c r="F44" s="90">
        <v>32</v>
      </c>
      <c r="G44" s="114">
        <v>0</v>
      </c>
      <c r="H44" s="117">
        <v>0</v>
      </c>
      <c r="I44" s="49"/>
      <c r="J44" s="113">
        <v>0</v>
      </c>
      <c r="K44" s="115">
        <v>0</v>
      </c>
      <c r="L44" s="149"/>
      <c r="M44" s="150"/>
    </row>
    <row r="45" spans="1:14" s="47" customFormat="1">
      <c r="A45" s="57" t="s">
        <v>290</v>
      </c>
      <c r="B45" s="90"/>
      <c r="C45" s="90"/>
      <c r="D45" s="470" t="s">
        <v>291</v>
      </c>
      <c r="E45" s="470"/>
      <c r="F45" s="90">
        <v>33</v>
      </c>
      <c r="G45" s="114">
        <v>0</v>
      </c>
      <c r="H45" s="117">
        <v>0</v>
      </c>
      <c r="I45" s="49"/>
      <c r="J45" s="113">
        <v>0</v>
      </c>
      <c r="K45" s="115">
        <v>0</v>
      </c>
      <c r="L45" s="149"/>
      <c r="M45" s="150"/>
    </row>
    <row r="46" spans="1:14">
      <c r="A46" s="88"/>
      <c r="B46" s="89"/>
      <c r="C46" s="89" t="s">
        <v>93</v>
      </c>
      <c r="D46" s="469" t="s">
        <v>292</v>
      </c>
      <c r="E46" s="469"/>
      <c r="F46" s="89">
        <v>34</v>
      </c>
      <c r="G46" s="113"/>
      <c r="H46" s="115"/>
      <c r="I46" s="50"/>
      <c r="J46" s="115"/>
      <c r="K46" s="113"/>
      <c r="L46" s="151"/>
      <c r="M46" s="152"/>
    </row>
    <row r="47" spans="1:14">
      <c r="A47" s="88"/>
      <c r="B47" s="89"/>
      <c r="C47" s="89" t="s">
        <v>149</v>
      </c>
      <c r="D47" s="469" t="s">
        <v>293</v>
      </c>
      <c r="E47" s="469"/>
      <c r="F47" s="89">
        <v>35</v>
      </c>
      <c r="G47" s="113"/>
      <c r="H47" s="115"/>
      <c r="I47" s="50"/>
      <c r="J47" s="115"/>
      <c r="K47" s="113"/>
      <c r="L47" s="151"/>
      <c r="M47" s="152"/>
    </row>
    <row r="48" spans="1:14">
      <c r="A48" s="88"/>
      <c r="B48" s="89"/>
      <c r="C48" s="89" t="s">
        <v>152</v>
      </c>
      <c r="D48" s="469" t="s">
        <v>294</v>
      </c>
      <c r="E48" s="469"/>
      <c r="F48" s="89">
        <v>36</v>
      </c>
      <c r="G48" s="113"/>
      <c r="H48" s="115"/>
      <c r="I48" s="50"/>
      <c r="J48" s="115"/>
      <c r="K48" s="113"/>
      <c r="L48" s="151"/>
      <c r="M48" s="152"/>
    </row>
    <row r="49" spans="1:13">
      <c r="A49" s="88"/>
      <c r="B49" s="89"/>
      <c r="C49" s="89" t="s">
        <v>155</v>
      </c>
      <c r="D49" s="469" t="s">
        <v>295</v>
      </c>
      <c r="E49" s="469"/>
      <c r="F49" s="89">
        <v>37</v>
      </c>
      <c r="G49" s="113"/>
      <c r="H49" s="115"/>
      <c r="I49" s="50"/>
      <c r="J49" s="115"/>
      <c r="K49" s="113"/>
      <c r="L49" s="151"/>
      <c r="M49" s="152"/>
    </row>
    <row r="50" spans="1:13">
      <c r="A50" s="88"/>
      <c r="B50" s="89"/>
      <c r="C50" s="89" t="s">
        <v>94</v>
      </c>
      <c r="D50" s="469" t="s">
        <v>296</v>
      </c>
      <c r="E50" s="469"/>
      <c r="F50" s="89">
        <v>38</v>
      </c>
      <c r="G50" s="113"/>
      <c r="H50" s="115"/>
      <c r="I50" s="50"/>
      <c r="J50" s="115"/>
      <c r="K50" s="113"/>
      <c r="L50" s="151"/>
      <c r="M50" s="152"/>
    </row>
    <row r="51" spans="1:13" s="47" customFormat="1">
      <c r="A51" s="57" t="s">
        <v>297</v>
      </c>
      <c r="B51" s="90"/>
      <c r="C51" s="90"/>
      <c r="D51" s="462" t="s">
        <v>298</v>
      </c>
      <c r="E51" s="462"/>
      <c r="F51" s="90">
        <v>39</v>
      </c>
      <c r="G51" s="229"/>
      <c r="H51" s="229"/>
      <c r="I51" s="230"/>
      <c r="J51" s="229"/>
      <c r="K51" s="229"/>
      <c r="L51" s="49" t="e">
        <f>J51/H51</f>
        <v>#DIV/0!</v>
      </c>
      <c r="M51" s="231" t="e">
        <f>K51/J51</f>
        <v>#DIV/0!</v>
      </c>
    </row>
    <row r="52" spans="1:13">
      <c r="A52" s="88"/>
      <c r="B52" s="89" t="s">
        <v>3</v>
      </c>
      <c r="C52" s="89"/>
      <c r="D52" s="469" t="s">
        <v>72</v>
      </c>
      <c r="E52" s="469"/>
      <c r="F52" s="89">
        <v>40</v>
      </c>
      <c r="G52" s="232"/>
      <c r="H52" s="232"/>
      <c r="I52" s="233"/>
      <c r="J52" s="232"/>
      <c r="K52" s="232"/>
      <c r="L52" s="50" t="e">
        <f>J52/H52</f>
        <v>#DIV/0!</v>
      </c>
      <c r="M52" s="234" t="e">
        <f>K52/J52</f>
        <v>#DIV/0!</v>
      </c>
    </row>
    <row r="53" spans="1:13" s="47" customFormat="1">
      <c r="A53" s="57" t="s">
        <v>299</v>
      </c>
      <c r="B53" s="90"/>
      <c r="C53" s="90"/>
      <c r="D53" s="462" t="s">
        <v>300</v>
      </c>
      <c r="E53" s="462"/>
      <c r="F53" s="90">
        <v>41</v>
      </c>
      <c r="G53" s="235"/>
      <c r="H53" s="236"/>
      <c r="I53" s="230"/>
      <c r="J53" s="236"/>
      <c r="K53" s="236"/>
      <c r="L53" s="49" t="e">
        <f>J53/H53</f>
        <v>#DIV/0!</v>
      </c>
      <c r="M53" s="231" t="e">
        <f>K53/J53</f>
        <v>#DIV/0!</v>
      </c>
    </row>
    <row r="54" spans="1:13" s="47" customFormat="1">
      <c r="A54" s="57" t="s">
        <v>301</v>
      </c>
      <c r="B54" s="90"/>
      <c r="C54" s="90"/>
      <c r="D54" s="462" t="s">
        <v>302</v>
      </c>
      <c r="E54" s="462"/>
      <c r="F54" s="90">
        <v>42</v>
      </c>
      <c r="G54" s="114"/>
      <c r="H54" s="117"/>
      <c r="I54" s="49"/>
      <c r="J54" s="117"/>
      <c r="K54" s="114"/>
      <c r="L54" s="149"/>
      <c r="M54" s="150"/>
    </row>
    <row r="55" spans="1:13">
      <c r="A55" s="468"/>
      <c r="B55" s="89" t="s">
        <v>3</v>
      </c>
      <c r="C55" s="89"/>
      <c r="D55" s="469" t="s">
        <v>567</v>
      </c>
      <c r="E55" s="469"/>
      <c r="F55" s="89">
        <v>43</v>
      </c>
      <c r="G55" s="113">
        <v>924</v>
      </c>
      <c r="H55" s="258">
        <v>824</v>
      </c>
      <c r="I55" s="50">
        <f t="shared" si="0"/>
        <v>0.89177489177489178</v>
      </c>
      <c r="J55" s="115"/>
      <c r="K55" s="113"/>
      <c r="L55" s="151">
        <f t="shared" si="3"/>
        <v>0</v>
      </c>
      <c r="M55" s="152" t="e">
        <f t="shared" si="4"/>
        <v>#DIV/0!</v>
      </c>
    </row>
    <row r="56" spans="1:13">
      <c r="A56" s="468"/>
      <c r="B56" s="89" t="s">
        <v>71</v>
      </c>
      <c r="C56" s="89"/>
      <c r="D56" s="469" t="s">
        <v>303</v>
      </c>
      <c r="E56" s="469"/>
      <c r="F56" s="89">
        <v>44</v>
      </c>
      <c r="G56" s="113">
        <f ca="1">'anexa 2intermediar'!H156</f>
        <v>974</v>
      </c>
      <c r="H56" s="258">
        <v>870</v>
      </c>
      <c r="I56" s="50">
        <f t="shared" si="0"/>
        <v>0.89322381930184802</v>
      </c>
      <c r="J56" s="115"/>
      <c r="K56" s="113"/>
      <c r="L56" s="151">
        <f t="shared" si="3"/>
        <v>0</v>
      </c>
      <c r="M56" s="152" t="e">
        <f t="shared" si="4"/>
        <v>#DIV/0!</v>
      </c>
    </row>
    <row r="57" spans="1:13">
      <c r="A57" s="468"/>
      <c r="B57" s="89" t="s">
        <v>65</v>
      </c>
      <c r="C57" s="89"/>
      <c r="D57" s="469" t="s">
        <v>304</v>
      </c>
      <c r="E57" s="469"/>
      <c r="F57" s="89">
        <v>45</v>
      </c>
      <c r="G57" s="113">
        <f ca="1">G58+G59</f>
        <v>38150267</v>
      </c>
      <c r="H57" s="113">
        <f ca="1">H58+H59</f>
        <v>0</v>
      </c>
      <c r="I57" s="50">
        <f t="shared" si="0"/>
        <v>0</v>
      </c>
      <c r="J57" s="122">
        <f>H57*1.03</f>
        <v>0</v>
      </c>
      <c r="K57" s="122">
        <f>J57*1.025</f>
        <v>0</v>
      </c>
      <c r="L57" s="151" t="e">
        <f t="shared" si="3"/>
        <v>#DIV/0!</v>
      </c>
      <c r="M57" s="152" t="e">
        <f t="shared" si="4"/>
        <v>#DIV/0!</v>
      </c>
    </row>
    <row r="58" spans="1:13" ht="18" customHeight="1">
      <c r="A58" s="468"/>
      <c r="B58" s="89"/>
      <c r="C58" s="89" t="s">
        <v>93</v>
      </c>
      <c r="D58" s="469" t="s">
        <v>0</v>
      </c>
      <c r="E58" s="469"/>
      <c r="F58" s="89">
        <v>46</v>
      </c>
      <c r="G58" s="113">
        <f ca="1">'anexa 2intermediar'!H99</f>
        <v>35426767</v>
      </c>
      <c r="H58" s="113">
        <f ca="1">'anexa 2intermediar'!I99</f>
        <v>0</v>
      </c>
      <c r="I58" s="50">
        <f t="shared" si="0"/>
        <v>0</v>
      </c>
      <c r="J58" s="122">
        <f>H58*1.03</f>
        <v>0</v>
      </c>
      <c r="K58" s="122">
        <f>J58*1.025</f>
        <v>0</v>
      </c>
      <c r="L58" s="151" t="e">
        <f t="shared" si="3"/>
        <v>#DIV/0!</v>
      </c>
      <c r="M58" s="152" t="e">
        <f t="shared" si="4"/>
        <v>#DIV/0!</v>
      </c>
    </row>
    <row r="59" spans="1:13">
      <c r="A59" s="468"/>
      <c r="B59" s="89"/>
      <c r="C59" s="89" t="s">
        <v>149</v>
      </c>
      <c r="D59" s="469" t="s">
        <v>211</v>
      </c>
      <c r="E59" s="469"/>
      <c r="F59" s="89">
        <v>47</v>
      </c>
      <c r="G59" s="113">
        <f ca="1">'anexa 2intermediar'!H103</f>
        <v>2723500</v>
      </c>
      <c r="H59" s="113">
        <f ca="1">'anexa 2intermediar'!I103</f>
        <v>0</v>
      </c>
      <c r="I59" s="50">
        <f t="shared" si="0"/>
        <v>0</v>
      </c>
      <c r="J59" s="122">
        <f>H59*1.03</f>
        <v>0</v>
      </c>
      <c r="K59" s="122">
        <f>J59*1.025</f>
        <v>0</v>
      </c>
      <c r="L59" s="151" t="e">
        <f t="shared" si="3"/>
        <v>#DIV/0!</v>
      </c>
      <c r="M59" s="152" t="e">
        <f t="shared" si="4"/>
        <v>#DIV/0!</v>
      </c>
    </row>
    <row r="60" spans="1:13" ht="59.25" customHeight="1">
      <c r="A60" s="468"/>
      <c r="B60" s="89" t="s">
        <v>66</v>
      </c>
      <c r="C60" s="89"/>
      <c r="D60" s="474" t="s">
        <v>250</v>
      </c>
      <c r="E60" s="475"/>
      <c r="F60" s="89">
        <v>48</v>
      </c>
      <c r="G60" s="113">
        <f>(G58/G56)/12*1000</f>
        <v>3031037.5598904863</v>
      </c>
      <c r="H60" s="113">
        <f>(H58/H56)/12*1000</f>
        <v>0</v>
      </c>
      <c r="I60" s="148">
        <f t="shared" si="0"/>
        <v>0</v>
      </c>
      <c r="J60" s="113">
        <f>H60*1.03</f>
        <v>0</v>
      </c>
      <c r="K60" s="113">
        <f>J60*1.025</f>
        <v>0</v>
      </c>
      <c r="L60" s="153" t="e">
        <f t="shared" si="3"/>
        <v>#DIV/0!</v>
      </c>
      <c r="M60" s="154" t="e">
        <f t="shared" si="4"/>
        <v>#DIV/0!</v>
      </c>
    </row>
    <row r="61" spans="1:13" ht="47.25" customHeight="1">
      <c r="A61" s="468"/>
      <c r="B61" s="89" t="s">
        <v>80</v>
      </c>
      <c r="C61" s="89"/>
      <c r="D61" s="476" t="s">
        <v>701</v>
      </c>
      <c r="E61" s="476"/>
      <c r="F61" s="89">
        <v>49</v>
      </c>
      <c r="G61" s="113">
        <f>(G57/G56)/12*1000</f>
        <v>3264054.3292265572</v>
      </c>
      <c r="H61" s="113">
        <f>(H57/H56)/12*1000</f>
        <v>0</v>
      </c>
      <c r="I61" s="50">
        <f t="shared" si="0"/>
        <v>0</v>
      </c>
      <c r="J61" s="113" t="e">
        <f>(J57/J56)/12*1000</f>
        <v>#DIV/0!</v>
      </c>
      <c r="K61" s="113" t="e">
        <f>(K57/K56)/12*1000</f>
        <v>#DIV/0!</v>
      </c>
      <c r="L61" s="151" t="e">
        <f t="shared" si="3"/>
        <v>#DIV/0!</v>
      </c>
      <c r="M61" s="152" t="e">
        <f t="shared" si="4"/>
        <v>#DIV/0!</v>
      </c>
    </row>
    <row r="62" spans="1:13" ht="30.75" customHeight="1">
      <c r="A62" s="468"/>
      <c r="B62" s="89" t="s">
        <v>67</v>
      </c>
      <c r="C62" s="89"/>
      <c r="D62" s="476" t="s">
        <v>702</v>
      </c>
      <c r="E62" s="476"/>
      <c r="F62" s="89">
        <v>50</v>
      </c>
      <c r="G62" s="113">
        <f>G13/G56</f>
        <v>200516.28336755646</v>
      </c>
      <c r="H62" s="113">
        <f>H13/H56</f>
        <v>0</v>
      </c>
      <c r="I62" s="50">
        <f t="shared" si="0"/>
        <v>0</v>
      </c>
      <c r="J62" s="113" t="e">
        <f>J13/J56</f>
        <v>#DIV/0!</v>
      </c>
      <c r="K62" s="113" t="e">
        <f>K13/K56</f>
        <v>#DIV/0!</v>
      </c>
      <c r="L62" s="151" t="e">
        <f t="shared" si="3"/>
        <v>#DIV/0!</v>
      </c>
      <c r="M62" s="152" t="e">
        <f t="shared" si="4"/>
        <v>#DIV/0!</v>
      </c>
    </row>
    <row r="63" spans="1:13" ht="47.25" customHeight="1">
      <c r="A63" s="468"/>
      <c r="B63" s="89" t="s">
        <v>4</v>
      </c>
      <c r="C63" s="89"/>
      <c r="D63" s="476" t="s">
        <v>438</v>
      </c>
      <c r="E63" s="476"/>
      <c r="F63" s="89">
        <v>51</v>
      </c>
      <c r="G63" s="118">
        <f>G62*104.96%</f>
        <v>210461.89102258722</v>
      </c>
      <c r="H63" s="119">
        <f>H62*104.3%</f>
        <v>0</v>
      </c>
      <c r="I63" s="50">
        <f t="shared" si="0"/>
        <v>0</v>
      </c>
      <c r="J63" s="118" t="e">
        <f>J62*103%</f>
        <v>#DIV/0!</v>
      </c>
      <c r="K63" s="119" t="e">
        <f>K62*102.5%</f>
        <v>#DIV/0!</v>
      </c>
      <c r="L63" s="151" t="e">
        <f>J63/H63</f>
        <v>#DIV/0!</v>
      </c>
      <c r="M63" s="152" t="e">
        <f>K63/J63</f>
        <v>#DIV/0!</v>
      </c>
    </row>
    <row r="64" spans="1:13" ht="31.5" customHeight="1">
      <c r="A64" s="468"/>
      <c r="B64" s="89" t="s">
        <v>68</v>
      </c>
      <c r="C64" s="89"/>
      <c r="D64" s="476" t="s">
        <v>251</v>
      </c>
      <c r="E64" s="476"/>
      <c r="F64" s="89">
        <v>52</v>
      </c>
      <c r="G64" s="118"/>
      <c r="H64" s="120"/>
      <c r="I64" s="107"/>
      <c r="J64" s="118"/>
      <c r="K64" s="123"/>
      <c r="L64" s="155"/>
      <c r="M64" s="156"/>
    </row>
    <row r="65" spans="1:13" ht="21" customHeight="1">
      <c r="A65" s="468"/>
      <c r="B65" s="89" t="s">
        <v>92</v>
      </c>
      <c r="C65" s="89"/>
      <c r="D65" s="476" t="s">
        <v>478</v>
      </c>
      <c r="E65" s="476"/>
      <c r="F65" s="89">
        <v>53</v>
      </c>
      <c r="G65" s="113">
        <f>(G17/G13)*1000</f>
        <v>1162.8739384564055</v>
      </c>
      <c r="H65" s="113" t="e">
        <f>(H17/H13)*1000</f>
        <v>#DIV/0!</v>
      </c>
      <c r="I65" s="50" t="e">
        <f t="shared" si="0"/>
        <v>#DIV/0!</v>
      </c>
      <c r="J65" s="113" t="e">
        <f>(J17/J13)*1000</f>
        <v>#DIV/0!</v>
      </c>
      <c r="K65" s="113" t="e">
        <f>(K17/K13)*1000</f>
        <v>#DIV/0!</v>
      </c>
      <c r="L65" s="151" t="e">
        <f t="shared" si="3"/>
        <v>#DIV/0!</v>
      </c>
      <c r="M65" s="152" t="e">
        <f t="shared" si="4"/>
        <v>#DIV/0!</v>
      </c>
    </row>
    <row r="66" spans="1:13" ht="19.5" customHeight="1">
      <c r="A66" s="468"/>
      <c r="B66" s="89" t="s">
        <v>98</v>
      </c>
      <c r="C66" s="89"/>
      <c r="D66" s="89" t="s">
        <v>479</v>
      </c>
      <c r="E66" s="21"/>
      <c r="F66" s="89">
        <v>54</v>
      </c>
      <c r="G66" s="113">
        <v>0</v>
      </c>
      <c r="H66" s="113">
        <v>0</v>
      </c>
      <c r="I66" s="50"/>
      <c r="J66" s="113">
        <v>0</v>
      </c>
      <c r="K66" s="113">
        <v>0</v>
      </c>
      <c r="L66" s="151"/>
      <c r="M66" s="152"/>
    </row>
    <row r="67" spans="1:13" ht="24" customHeight="1" thickBot="1">
      <c r="A67" s="473"/>
      <c r="B67" s="58" t="s">
        <v>100</v>
      </c>
      <c r="C67" s="58"/>
      <c r="D67" s="58" t="s">
        <v>480</v>
      </c>
      <c r="E67" s="58"/>
      <c r="F67" s="58">
        <v>55</v>
      </c>
      <c r="G67" s="121">
        <v>0</v>
      </c>
      <c r="H67" s="121">
        <v>0</v>
      </c>
      <c r="I67" s="59"/>
      <c r="J67" s="121">
        <v>0</v>
      </c>
      <c r="K67" s="121">
        <v>0</v>
      </c>
      <c r="L67" s="157"/>
      <c r="M67" s="158"/>
    </row>
    <row r="69" spans="1:13">
      <c r="E69" s="1" t="s">
        <v>771</v>
      </c>
      <c r="H69" s="1" t="s">
        <v>770</v>
      </c>
    </row>
    <row r="70" spans="1:13">
      <c r="E70" s="1" t="s">
        <v>772</v>
      </c>
      <c r="H70" s="1" t="s">
        <v>773</v>
      </c>
    </row>
  </sheetData>
  <mergeCells count="70">
    <mergeCell ref="A60:A67"/>
    <mergeCell ref="D60:E60"/>
    <mergeCell ref="D61:E61"/>
    <mergeCell ref="D62:E62"/>
    <mergeCell ref="D63:E63"/>
    <mergeCell ref="D64:E64"/>
    <mergeCell ref="D65:E65"/>
    <mergeCell ref="D54:E54"/>
    <mergeCell ref="D43:E43"/>
    <mergeCell ref="D42:E42"/>
    <mergeCell ref="A55:A59"/>
    <mergeCell ref="D55:E55"/>
    <mergeCell ref="D56:E56"/>
    <mergeCell ref="D57:E57"/>
    <mergeCell ref="D58:E58"/>
    <mergeCell ref="D59:E59"/>
    <mergeCell ref="D53:E53"/>
    <mergeCell ref="A34:A43"/>
    <mergeCell ref="D34:E34"/>
    <mergeCell ref="D35:E35"/>
    <mergeCell ref="D36:E36"/>
    <mergeCell ref="D37:E37"/>
    <mergeCell ref="D38:E38"/>
    <mergeCell ref="D39:E39"/>
    <mergeCell ref="D40:E40"/>
    <mergeCell ref="D50:E50"/>
    <mergeCell ref="D51:E51"/>
    <mergeCell ref="D52:E52"/>
    <mergeCell ref="D41:E41"/>
    <mergeCell ref="D44:E44"/>
    <mergeCell ref="D45:E45"/>
    <mergeCell ref="D46:E46"/>
    <mergeCell ref="D47:E47"/>
    <mergeCell ref="D48:E48"/>
    <mergeCell ref="D49:E49"/>
    <mergeCell ref="A14:A16"/>
    <mergeCell ref="D14:E14"/>
    <mergeCell ref="D15:E15"/>
    <mergeCell ref="D16:E16"/>
    <mergeCell ref="A18:A30"/>
    <mergeCell ref="D18:E18"/>
    <mergeCell ref="D17:E17"/>
    <mergeCell ref="D21:E21"/>
    <mergeCell ref="C22:C27"/>
    <mergeCell ref="D28:E28"/>
    <mergeCell ref="D33:E33"/>
    <mergeCell ref="D30:E30"/>
    <mergeCell ref="D31:E31"/>
    <mergeCell ref="D32:E32"/>
    <mergeCell ref="B19:B28"/>
    <mergeCell ref="D19:E19"/>
    <mergeCell ref="D20:E20"/>
    <mergeCell ref="D29:E29"/>
    <mergeCell ref="D13:E13"/>
    <mergeCell ref="I10:I11"/>
    <mergeCell ref="F10:F11"/>
    <mergeCell ref="E6:J6"/>
    <mergeCell ref="A10:C11"/>
    <mergeCell ref="B12:C12"/>
    <mergeCell ref="D12:E12"/>
    <mergeCell ref="L10:M10"/>
    <mergeCell ref="J10:J11"/>
    <mergeCell ref="B2:E2"/>
    <mergeCell ref="B3:E3"/>
    <mergeCell ref="B4:E4"/>
    <mergeCell ref="E5:K5"/>
    <mergeCell ref="K10:K11"/>
    <mergeCell ref="D10:E11"/>
    <mergeCell ref="G10:G11"/>
    <mergeCell ref="H10:H11"/>
  </mergeCells>
  <phoneticPr fontId="21" type="noConversion"/>
  <pageMargins left="0.7" right="0.45" top="0.75" bottom="0.75" header="0.3" footer="0.3"/>
  <pageSetup paperSize="9" orientation="landscape" verticalDpi="4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Q161"/>
  <sheetViews>
    <sheetView workbookViewId="0"/>
  </sheetViews>
  <sheetFormatPr defaultRowHeight="12.75"/>
  <cols>
    <col min="1" max="1" width="5.5703125" style="1" customWidth="1"/>
    <col min="2" max="2" width="3.7109375" style="1" customWidth="1"/>
    <col min="3" max="3" width="6" style="1" customWidth="1"/>
    <col min="4" max="4" width="5.28515625" style="1" customWidth="1"/>
    <col min="5" max="5" width="54.7109375" style="85" customWidth="1"/>
    <col min="6" max="6" width="6.28515625" style="1" customWidth="1"/>
    <col min="7" max="7" width="13.140625" style="1" customWidth="1"/>
    <col min="8" max="8" width="10.42578125" style="1" bestFit="1" customWidth="1"/>
    <col min="9" max="11" width="9.140625" style="1"/>
    <col min="12" max="12" width="0" style="1" hidden="1" customWidth="1"/>
    <col min="13" max="13" width="10" style="1" hidden="1" customWidth="1"/>
    <col min="14" max="17" width="0" style="1" hidden="1" customWidth="1"/>
    <col min="18" max="16384" width="9.140625" style="1"/>
  </cols>
  <sheetData>
    <row r="2" spans="1:14">
      <c r="A2" s="452" t="s">
        <v>733</v>
      </c>
      <c r="B2" s="452"/>
      <c r="C2" s="452"/>
      <c r="D2" s="452"/>
    </row>
    <row r="3" spans="1:14">
      <c r="A3" s="452" t="s">
        <v>734</v>
      </c>
      <c r="B3" s="452"/>
      <c r="C3" s="452"/>
      <c r="D3" s="452"/>
      <c r="I3" s="2" t="s">
        <v>53</v>
      </c>
    </row>
    <row r="4" spans="1:14">
      <c r="A4" s="452" t="s">
        <v>735</v>
      </c>
      <c r="B4" s="452"/>
      <c r="C4" s="452"/>
      <c r="D4" s="452"/>
    </row>
    <row r="5" spans="1:14">
      <c r="A5" s="85"/>
      <c r="B5" s="85"/>
      <c r="C5" s="85"/>
      <c r="E5" s="173" t="s">
        <v>1</v>
      </c>
      <c r="F5" s="7"/>
      <c r="G5" s="7"/>
      <c r="H5" s="7"/>
      <c r="I5" s="7"/>
      <c r="J5" s="7"/>
    </row>
    <row r="6" spans="1:14">
      <c r="A6" s="85"/>
      <c r="B6" s="85"/>
      <c r="C6" s="85"/>
      <c r="D6" s="7"/>
      <c r="E6" s="7" t="s">
        <v>707</v>
      </c>
      <c r="F6" s="7"/>
      <c r="G6" s="7"/>
      <c r="H6" s="7"/>
      <c r="I6" s="7"/>
    </row>
    <row r="7" spans="1:14">
      <c r="A7" s="85"/>
      <c r="B7" s="85"/>
      <c r="C7" s="85"/>
      <c r="D7" s="7"/>
      <c r="F7" s="7"/>
      <c r="G7" s="7"/>
      <c r="H7" s="7"/>
      <c r="I7" s="7"/>
    </row>
    <row r="8" spans="1:14" ht="13.5" thickBot="1"/>
    <row r="9" spans="1:14" ht="26.25" thickBot="1">
      <c r="A9" s="463" t="s">
        <v>606</v>
      </c>
      <c r="B9" s="464"/>
      <c r="C9" s="30"/>
      <c r="D9" s="30"/>
      <c r="E9" s="53" t="s">
        <v>60</v>
      </c>
      <c r="F9" s="30" t="s">
        <v>607</v>
      </c>
      <c r="G9" s="140" t="s">
        <v>179</v>
      </c>
      <c r="H9" s="30" t="s">
        <v>608</v>
      </c>
      <c r="I9" s="30" t="s">
        <v>609</v>
      </c>
      <c r="J9" s="30" t="s">
        <v>610</v>
      </c>
      <c r="K9" s="30" t="s">
        <v>611</v>
      </c>
    </row>
    <row r="10" spans="1:14" ht="13.5" thickBot="1">
      <c r="A10" s="30" t="s">
        <v>96</v>
      </c>
      <c r="B10" s="30"/>
      <c r="C10" s="30"/>
      <c r="D10" s="30"/>
      <c r="E10" s="53" t="s">
        <v>3</v>
      </c>
      <c r="F10" s="30" t="s">
        <v>612</v>
      </c>
      <c r="G10" s="30" t="s">
        <v>71</v>
      </c>
      <c r="H10" s="30" t="s">
        <v>65</v>
      </c>
      <c r="I10" s="30" t="s">
        <v>66</v>
      </c>
      <c r="J10" s="30" t="s">
        <v>80</v>
      </c>
      <c r="K10" s="30" t="s">
        <v>67</v>
      </c>
    </row>
    <row r="11" spans="1:14" s="47" customFormat="1" ht="17.25" customHeight="1" thickBot="1">
      <c r="A11" s="71" t="s">
        <v>417</v>
      </c>
      <c r="B11" s="644" t="s">
        <v>437</v>
      </c>
      <c r="C11" s="645"/>
      <c r="D11" s="645"/>
      <c r="E11" s="646"/>
      <c r="F11" s="71" t="s">
        <v>3</v>
      </c>
      <c r="G11" s="129">
        <f>G12+G33+G39</f>
        <v>0</v>
      </c>
      <c r="H11" s="129">
        <f>H12+H33+H39</f>
        <v>0</v>
      </c>
      <c r="I11" s="129">
        <f>I12+I33+I39</f>
        <v>0</v>
      </c>
      <c r="J11" s="129">
        <f>J12+J33+J39</f>
        <v>0</v>
      </c>
      <c r="K11" s="129">
        <f>K12+K33+K39</f>
        <v>0</v>
      </c>
      <c r="M11" s="47">
        <v>127385</v>
      </c>
      <c r="N11" s="47">
        <f>G11-M11</f>
        <v>-127385</v>
      </c>
    </row>
    <row r="12" spans="1:14" ht="21.75" customHeight="1" thickBot="1">
      <c r="A12" s="546"/>
      <c r="B12" s="30" t="s">
        <v>3</v>
      </c>
      <c r="C12" s="463" t="s">
        <v>256</v>
      </c>
      <c r="D12" s="558"/>
      <c r="E12" s="464"/>
      <c r="F12" s="30" t="s">
        <v>71</v>
      </c>
      <c r="G12" s="126">
        <f>G13+G18+G19+G23+G24+G25</f>
        <v>0</v>
      </c>
      <c r="H12" s="126">
        <f>H13+H18+H19+H23+H24+H25</f>
        <v>0</v>
      </c>
      <c r="I12" s="126">
        <f>I13+I18+I19+I23+I24+I25</f>
        <v>0</v>
      </c>
      <c r="J12" s="126">
        <f>J13+J18+J19+J23+J24+J25</f>
        <v>0</v>
      </c>
      <c r="K12" s="126">
        <f>K13+K18+K19+K23+K24+K25</f>
        <v>0</v>
      </c>
      <c r="M12" s="1">
        <v>126835</v>
      </c>
      <c r="N12" s="47">
        <f>G12-M12</f>
        <v>-126835</v>
      </c>
    </row>
    <row r="13" spans="1:14" ht="30" customHeight="1" thickBot="1">
      <c r="A13" s="547"/>
      <c r="B13" s="546"/>
      <c r="C13" s="30" t="s">
        <v>93</v>
      </c>
      <c r="D13" s="554" t="s">
        <v>613</v>
      </c>
      <c r="E13" s="555"/>
      <c r="F13" s="30" t="s">
        <v>65</v>
      </c>
      <c r="G13" s="126">
        <f>G14+G15+G16+G17</f>
        <v>0</v>
      </c>
      <c r="H13" s="126">
        <f>H14+H15+H16+H17</f>
        <v>0</v>
      </c>
      <c r="I13" s="126">
        <f>I14+I15+I16+I17</f>
        <v>0</v>
      </c>
      <c r="J13" s="126">
        <f>J14+J15+J16+J17</f>
        <v>0</v>
      </c>
      <c r="K13" s="126">
        <f>K14+K15+K16+K17</f>
        <v>0</v>
      </c>
    </row>
    <row r="14" spans="1:14" ht="13.5" thickBot="1">
      <c r="A14" s="547"/>
      <c r="B14" s="547"/>
      <c r="C14" s="30"/>
      <c r="D14" s="30" t="s">
        <v>454</v>
      </c>
      <c r="E14" s="53" t="s">
        <v>614</v>
      </c>
      <c r="F14" s="30" t="s">
        <v>66</v>
      </c>
      <c r="G14" s="126"/>
      <c r="H14" s="126"/>
      <c r="I14" s="126"/>
      <c r="J14" s="126"/>
      <c r="K14" s="126"/>
    </row>
    <row r="15" spans="1:14" ht="13.5" thickBot="1">
      <c r="A15" s="547"/>
      <c r="B15" s="547"/>
      <c r="C15" s="30"/>
      <c r="D15" s="30" t="s">
        <v>191</v>
      </c>
      <c r="E15" s="53" t="s">
        <v>615</v>
      </c>
      <c r="F15" s="30" t="s">
        <v>80</v>
      </c>
      <c r="G15" s="126">
        <f>SUM(H15:K15)</f>
        <v>0</v>
      </c>
      <c r="H15" s="141"/>
      <c r="I15" s="141"/>
      <c r="J15" s="141"/>
      <c r="K15" s="142"/>
    </row>
    <row r="16" spans="1:14" ht="13.5" thickBot="1">
      <c r="A16" s="547"/>
      <c r="B16" s="547"/>
      <c r="C16" s="30"/>
      <c r="D16" s="30" t="s">
        <v>616</v>
      </c>
      <c r="E16" s="53" t="s">
        <v>617</v>
      </c>
      <c r="F16" s="30" t="s">
        <v>67</v>
      </c>
      <c r="G16" s="126">
        <f>SUM(H16:K16)</f>
        <v>0</v>
      </c>
      <c r="H16" s="141"/>
      <c r="I16" s="141"/>
      <c r="J16" s="141"/>
      <c r="K16" s="142"/>
    </row>
    <row r="17" spans="1:11" ht="13.5" thickBot="1">
      <c r="A17" s="547"/>
      <c r="B17" s="547"/>
      <c r="C17" s="30"/>
      <c r="D17" s="30" t="s">
        <v>618</v>
      </c>
      <c r="E17" s="53" t="s">
        <v>619</v>
      </c>
      <c r="F17" s="30" t="s">
        <v>4</v>
      </c>
      <c r="G17" s="126">
        <f>SUM(H17:K17)</f>
        <v>0</v>
      </c>
      <c r="H17" s="141"/>
      <c r="I17" s="141"/>
      <c r="J17" s="141"/>
      <c r="K17" s="142"/>
    </row>
    <row r="18" spans="1:11" ht="13.5" thickBot="1">
      <c r="A18" s="547"/>
      <c r="B18" s="547"/>
      <c r="C18" s="30" t="s">
        <v>149</v>
      </c>
      <c r="D18" s="552" t="s">
        <v>620</v>
      </c>
      <c r="E18" s="553"/>
      <c r="F18" s="30" t="s">
        <v>68</v>
      </c>
      <c r="G18" s="126"/>
      <c r="H18" s="126"/>
      <c r="I18" s="126"/>
      <c r="J18" s="126"/>
      <c r="K18" s="126"/>
    </row>
    <row r="19" spans="1:11" ht="46.5" customHeight="1" thickBot="1">
      <c r="A19" s="547"/>
      <c r="B19" s="547"/>
      <c r="C19" s="30" t="s">
        <v>152</v>
      </c>
      <c r="D19" s="554" t="s">
        <v>621</v>
      </c>
      <c r="E19" s="555"/>
      <c r="F19" s="30" t="s">
        <v>92</v>
      </c>
      <c r="G19" s="126">
        <f>G20+G21+G22</f>
        <v>0</v>
      </c>
      <c r="H19" s="126">
        <f>H20+H21+H22</f>
        <v>0</v>
      </c>
      <c r="I19" s="126">
        <f>I20+I21+I22</f>
        <v>0</v>
      </c>
      <c r="J19" s="126">
        <f>J20+J21+J22</f>
        <v>0</v>
      </c>
      <c r="K19" s="126">
        <f>K20+K21+K22</f>
        <v>0</v>
      </c>
    </row>
    <row r="20" spans="1:11" ht="13.5" thickBot="1">
      <c r="A20" s="547"/>
      <c r="B20" s="547"/>
      <c r="C20" s="546"/>
      <c r="D20" s="30" t="s">
        <v>622</v>
      </c>
      <c r="E20" s="53" t="s">
        <v>623</v>
      </c>
      <c r="F20" s="30" t="s">
        <v>98</v>
      </c>
      <c r="G20" s="126">
        <f>SUM(H20:K20)</f>
        <v>0</v>
      </c>
      <c r="H20" s="126"/>
      <c r="I20" s="126"/>
      <c r="J20" s="126"/>
      <c r="K20" s="126"/>
    </row>
    <row r="21" spans="1:11" ht="13.5" thickBot="1">
      <c r="A21" s="547"/>
      <c r="B21" s="547"/>
      <c r="C21" s="557"/>
      <c r="D21" s="30" t="s">
        <v>197</v>
      </c>
      <c r="E21" s="53" t="s">
        <v>99</v>
      </c>
      <c r="F21" s="30" t="s">
        <v>100</v>
      </c>
      <c r="G21" s="126">
        <f>SUM(H21:K21)</f>
        <v>0</v>
      </c>
      <c r="H21" s="126"/>
      <c r="I21" s="126"/>
      <c r="J21" s="126"/>
      <c r="K21" s="126"/>
    </row>
    <row r="22" spans="1:11" ht="13.5" thickBot="1">
      <c r="A22" s="547"/>
      <c r="B22" s="547"/>
      <c r="C22" s="30"/>
      <c r="D22" s="30" t="s">
        <v>624</v>
      </c>
      <c r="E22" s="53" t="s">
        <v>101</v>
      </c>
      <c r="F22" s="30" t="s">
        <v>102</v>
      </c>
      <c r="G22" s="126">
        <f>SUM(H22:K22)</f>
        <v>0</v>
      </c>
      <c r="H22" s="126"/>
      <c r="I22" s="126"/>
      <c r="J22" s="126"/>
      <c r="K22" s="126"/>
    </row>
    <row r="23" spans="1:11" ht="13.5" thickBot="1">
      <c r="A23" s="547"/>
      <c r="B23" s="547"/>
      <c r="C23" s="30" t="s">
        <v>155</v>
      </c>
      <c r="D23" s="552" t="s">
        <v>625</v>
      </c>
      <c r="E23" s="553"/>
      <c r="F23" s="30" t="s">
        <v>103</v>
      </c>
      <c r="G23" s="141">
        <f>SUM(H23:K23)</f>
        <v>0</v>
      </c>
      <c r="H23" s="141"/>
      <c r="I23" s="141"/>
      <c r="J23" s="141"/>
      <c r="K23" s="142"/>
    </row>
    <row r="24" spans="1:11" ht="30" customHeight="1" thickBot="1">
      <c r="A24" s="547"/>
      <c r="B24" s="557"/>
      <c r="C24" s="30" t="s">
        <v>94</v>
      </c>
      <c r="D24" s="554" t="s">
        <v>626</v>
      </c>
      <c r="E24" s="555"/>
      <c r="F24" s="30" t="s">
        <v>104</v>
      </c>
      <c r="G24" s="141"/>
      <c r="H24" s="141"/>
      <c r="I24" s="141"/>
      <c r="J24" s="141"/>
      <c r="K24" s="142"/>
    </row>
    <row r="25" spans="1:11" ht="13.5" thickBot="1">
      <c r="A25" s="547"/>
      <c r="B25" s="30"/>
      <c r="C25" s="30" t="s">
        <v>105</v>
      </c>
      <c r="D25" s="554" t="s">
        <v>627</v>
      </c>
      <c r="E25" s="555"/>
      <c r="F25" s="30" t="s">
        <v>106</v>
      </c>
      <c r="G25" s="141">
        <f>G26+G27+G30+G31+G32</f>
        <v>0</v>
      </c>
      <c r="H25" s="141">
        <f>H26+H27+H30+H31+H32</f>
        <v>0</v>
      </c>
      <c r="I25" s="141">
        <f>I26+I27+I30+I31+I32</f>
        <v>0</v>
      </c>
      <c r="J25" s="141">
        <f>J26+J27+J30+J31+J32</f>
        <v>0</v>
      </c>
      <c r="K25" s="141">
        <f>K26+K27+K30+K31+K32</f>
        <v>0</v>
      </c>
    </row>
    <row r="26" spans="1:11" ht="13.5" thickBot="1">
      <c r="A26" s="547"/>
      <c r="B26" s="30"/>
      <c r="C26" s="30"/>
      <c r="D26" s="30" t="s">
        <v>628</v>
      </c>
      <c r="E26" s="53" t="s">
        <v>629</v>
      </c>
      <c r="F26" s="30" t="s">
        <v>107</v>
      </c>
      <c r="G26" s="141">
        <f>SUM(H26:K26)</f>
        <v>0</v>
      </c>
      <c r="H26" s="141"/>
      <c r="I26" s="141"/>
      <c r="J26" s="141"/>
      <c r="K26" s="142"/>
    </row>
    <row r="27" spans="1:11" ht="26.25" thickBot="1">
      <c r="A27" s="547"/>
      <c r="B27" s="30"/>
      <c r="C27" s="30"/>
      <c r="D27" s="30" t="s">
        <v>175</v>
      </c>
      <c r="E27" s="54" t="s">
        <v>630</v>
      </c>
      <c r="F27" s="30" t="s">
        <v>108</v>
      </c>
      <c r="G27" s="141">
        <f>SUM(G28:G29)</f>
        <v>0</v>
      </c>
      <c r="H27" s="141">
        <f>SUM(H28:H29)</f>
        <v>0</v>
      </c>
      <c r="I27" s="141">
        <f>SUM(I28:I29)</f>
        <v>0</v>
      </c>
      <c r="J27" s="141">
        <f>SUM(J28:J29)</f>
        <v>0</v>
      </c>
      <c r="K27" s="141">
        <f>SUM(K28:K29)</f>
        <v>0</v>
      </c>
    </row>
    <row r="28" spans="1:11" ht="13.5" thickBot="1">
      <c r="A28" s="547"/>
      <c r="B28" s="30"/>
      <c r="C28" s="30"/>
      <c r="D28" s="30"/>
      <c r="E28" s="53" t="s">
        <v>631</v>
      </c>
      <c r="F28" s="30" t="s">
        <v>109</v>
      </c>
      <c r="G28" s="141"/>
      <c r="H28" s="141"/>
      <c r="I28" s="141"/>
      <c r="J28" s="141"/>
      <c r="K28" s="142"/>
    </row>
    <row r="29" spans="1:11" ht="13.5" thickBot="1">
      <c r="A29" s="547"/>
      <c r="B29" s="30"/>
      <c r="C29" s="30"/>
      <c r="D29" s="30"/>
      <c r="E29" s="53" t="s">
        <v>632</v>
      </c>
      <c r="F29" s="30" t="s">
        <v>110</v>
      </c>
      <c r="G29" s="141"/>
      <c r="H29" s="141"/>
      <c r="I29" s="141"/>
      <c r="J29" s="141"/>
      <c r="K29" s="142"/>
    </row>
    <row r="30" spans="1:11" s="144" customFormat="1" ht="13.5" thickBot="1">
      <c r="A30" s="547"/>
      <c r="B30" s="73"/>
      <c r="C30" s="73"/>
      <c r="D30" s="73" t="s">
        <v>176</v>
      </c>
      <c r="E30" s="105" t="s">
        <v>633</v>
      </c>
      <c r="F30" s="73" t="s">
        <v>111</v>
      </c>
      <c r="G30" s="143">
        <f>SUM(H30:K30)</f>
        <v>0</v>
      </c>
      <c r="H30" s="143"/>
      <c r="I30" s="143"/>
      <c r="J30" s="143"/>
      <c r="K30" s="143"/>
    </row>
    <row r="31" spans="1:11" s="144" customFormat="1" ht="13.5" thickBot="1">
      <c r="A31" s="547"/>
      <c r="B31" s="73"/>
      <c r="C31" s="73"/>
      <c r="D31" s="73" t="s">
        <v>177</v>
      </c>
      <c r="E31" s="105" t="s">
        <v>634</v>
      </c>
      <c r="F31" s="73" t="s">
        <v>112</v>
      </c>
      <c r="G31" s="143">
        <f>SUM(H31:K31)</f>
        <v>0</v>
      </c>
      <c r="H31" s="143"/>
      <c r="I31" s="143"/>
      <c r="J31" s="143"/>
      <c r="K31" s="145"/>
    </row>
    <row r="32" spans="1:11" s="144" customFormat="1" ht="13.5" thickBot="1">
      <c r="A32" s="547"/>
      <c r="B32" s="73"/>
      <c r="C32" s="73"/>
      <c r="D32" s="73" t="s">
        <v>178</v>
      </c>
      <c r="E32" s="105" t="s">
        <v>619</v>
      </c>
      <c r="F32" s="73" t="s">
        <v>113</v>
      </c>
      <c r="G32" s="143">
        <f>SUM(H32:K32)</f>
        <v>0</v>
      </c>
      <c r="H32" s="143"/>
      <c r="I32" s="143"/>
      <c r="J32" s="143"/>
      <c r="K32" s="145"/>
    </row>
    <row r="33" spans="1:14" ht="13.5" thickBot="1">
      <c r="A33" s="547"/>
      <c r="B33" s="30" t="s">
        <v>71</v>
      </c>
      <c r="C33" s="30"/>
      <c r="D33" s="554" t="s">
        <v>635</v>
      </c>
      <c r="E33" s="555"/>
      <c r="F33" s="30" t="s">
        <v>114</v>
      </c>
      <c r="G33" s="141">
        <f>G34+G35+G36+G37+G38</f>
        <v>0</v>
      </c>
      <c r="H33" s="141">
        <f>H34+H35+H36+H37+H38</f>
        <v>0</v>
      </c>
      <c r="I33" s="141">
        <f>I34+I35+I36+I37+I38</f>
        <v>0</v>
      </c>
      <c r="J33" s="141">
        <f>J34+J35+J36+J37+J38</f>
        <v>0</v>
      </c>
      <c r="K33" s="141">
        <f>K34+K35+K36+K37+K38</f>
        <v>0</v>
      </c>
      <c r="M33" s="1">
        <v>550</v>
      </c>
    </row>
    <row r="34" spans="1:14" ht="13.5" thickBot="1">
      <c r="A34" s="547"/>
      <c r="B34" s="546"/>
      <c r="C34" s="30" t="s">
        <v>93</v>
      </c>
      <c r="D34" s="552" t="s">
        <v>636</v>
      </c>
      <c r="E34" s="553"/>
      <c r="F34" s="30" t="s">
        <v>115</v>
      </c>
      <c r="G34" s="141">
        <f t="shared" ref="G34:G39" si="0">SUM(H34:K34)</f>
        <v>0</v>
      </c>
      <c r="H34" s="141"/>
      <c r="I34" s="141"/>
      <c r="J34" s="141"/>
      <c r="K34" s="142"/>
    </row>
    <row r="35" spans="1:14" ht="13.5" thickBot="1">
      <c r="A35" s="547"/>
      <c r="B35" s="547"/>
      <c r="C35" s="30" t="s">
        <v>149</v>
      </c>
      <c r="D35" s="552" t="s">
        <v>637</v>
      </c>
      <c r="E35" s="553"/>
      <c r="F35" s="30" t="s">
        <v>116</v>
      </c>
      <c r="G35" s="141">
        <f t="shared" si="0"/>
        <v>0</v>
      </c>
      <c r="H35" s="141"/>
      <c r="I35" s="141"/>
      <c r="J35" s="141"/>
      <c r="K35" s="142"/>
    </row>
    <row r="36" spans="1:14" ht="13.5" thickBot="1">
      <c r="A36" s="547"/>
      <c r="B36" s="547"/>
      <c r="C36" s="30" t="s">
        <v>152</v>
      </c>
      <c r="D36" s="552" t="s">
        <v>638</v>
      </c>
      <c r="E36" s="553"/>
      <c r="F36" s="30" t="s">
        <v>117</v>
      </c>
      <c r="G36" s="143">
        <f t="shared" si="0"/>
        <v>0</v>
      </c>
      <c r="H36" s="141"/>
      <c r="I36" s="141"/>
      <c r="J36" s="141"/>
      <c r="K36" s="142"/>
    </row>
    <row r="37" spans="1:14" ht="13.5" thickBot="1">
      <c r="A37" s="547"/>
      <c r="B37" s="547"/>
      <c r="C37" s="30" t="s">
        <v>155</v>
      </c>
      <c r="D37" s="552" t="s">
        <v>639</v>
      </c>
      <c r="E37" s="553"/>
      <c r="F37" s="30" t="s">
        <v>118</v>
      </c>
      <c r="G37" s="141">
        <f t="shared" si="0"/>
        <v>0</v>
      </c>
      <c r="H37" s="141"/>
      <c r="I37" s="141"/>
      <c r="J37" s="141"/>
      <c r="K37" s="142"/>
    </row>
    <row r="38" spans="1:14" ht="13.5" thickBot="1">
      <c r="A38" s="547"/>
      <c r="B38" s="557"/>
      <c r="C38" s="30" t="s">
        <v>94</v>
      </c>
      <c r="D38" s="552" t="s">
        <v>640</v>
      </c>
      <c r="E38" s="553"/>
      <c r="F38" s="30" t="s">
        <v>119</v>
      </c>
      <c r="G38" s="141">
        <f t="shared" si="0"/>
        <v>0</v>
      </c>
      <c r="H38" s="141"/>
      <c r="I38" s="141"/>
      <c r="J38" s="141"/>
      <c r="K38" s="142"/>
    </row>
    <row r="39" spans="1:14" ht="13.5" thickBot="1">
      <c r="A39" s="557"/>
      <c r="B39" s="30" t="s">
        <v>65</v>
      </c>
      <c r="C39" s="30"/>
      <c r="D39" s="552" t="s">
        <v>258</v>
      </c>
      <c r="E39" s="553"/>
      <c r="F39" s="30" t="s">
        <v>120</v>
      </c>
      <c r="G39" s="141">
        <f t="shared" si="0"/>
        <v>0</v>
      </c>
      <c r="H39" s="141"/>
      <c r="I39" s="141"/>
      <c r="J39" s="141"/>
      <c r="K39" s="142"/>
    </row>
    <row r="40" spans="1:14" s="47" customFormat="1" ht="13.5" thickBot="1">
      <c r="A40" s="71" t="s">
        <v>77</v>
      </c>
      <c r="B40" s="644" t="s">
        <v>212</v>
      </c>
      <c r="C40" s="645"/>
      <c r="D40" s="645"/>
      <c r="E40" s="646"/>
      <c r="F40" s="71" t="s">
        <v>121</v>
      </c>
      <c r="G40" s="129">
        <f>G41+G141+G149</f>
        <v>0</v>
      </c>
      <c r="H40" s="129">
        <f>H41+H141+H149</f>
        <v>0</v>
      </c>
      <c r="I40" s="129">
        <f>I41+I141+I149</f>
        <v>0</v>
      </c>
      <c r="J40" s="129">
        <f>J41+J141+J149</f>
        <v>0</v>
      </c>
      <c r="K40" s="129">
        <f>K41+K141+K149</f>
        <v>0</v>
      </c>
      <c r="M40" s="47">
        <v>118695</v>
      </c>
      <c r="N40" s="47">
        <f>G40-M40</f>
        <v>-118695</v>
      </c>
    </row>
    <row r="41" spans="1:14" ht="13.5" thickBot="1">
      <c r="A41" s="546"/>
      <c r="B41" s="72" t="s">
        <v>3</v>
      </c>
      <c r="C41" s="649" t="s">
        <v>641</v>
      </c>
      <c r="D41" s="650"/>
      <c r="E41" s="651"/>
      <c r="F41" s="70" t="s">
        <v>484</v>
      </c>
      <c r="G41" s="130">
        <f>G42+G90+G97+G126</f>
        <v>0</v>
      </c>
      <c r="H41" s="130">
        <f>H42+H90+H97+H126</f>
        <v>0</v>
      </c>
      <c r="I41" s="130">
        <f>I42+I90+I97+I126</f>
        <v>0</v>
      </c>
      <c r="J41" s="130">
        <f>J42+J90+J97+J126</f>
        <v>0</v>
      </c>
      <c r="K41" s="130">
        <f>K42+K90+K97+K126</f>
        <v>0</v>
      </c>
      <c r="M41" s="1">
        <v>116261</v>
      </c>
      <c r="N41" s="1">
        <f>G41-M41</f>
        <v>-116261</v>
      </c>
    </row>
    <row r="42" spans="1:14" ht="31.5" customHeight="1" thickBot="1">
      <c r="A42" s="547"/>
      <c r="B42" s="546"/>
      <c r="C42" s="649" t="s">
        <v>642</v>
      </c>
      <c r="D42" s="650"/>
      <c r="E42" s="651"/>
      <c r="F42" s="70" t="s">
        <v>486</v>
      </c>
      <c r="G42" s="130">
        <f>G43+G51+G57</f>
        <v>0</v>
      </c>
      <c r="H42" s="130">
        <f>H43+H51+H57</f>
        <v>0</v>
      </c>
      <c r="I42" s="130">
        <f>I43+I51+I57</f>
        <v>0</v>
      </c>
      <c r="J42" s="130">
        <f>J43+J51+J57</f>
        <v>0</v>
      </c>
      <c r="K42" s="130">
        <f>K43+K51+K57</f>
        <v>0</v>
      </c>
    </row>
    <row r="43" spans="1:14" ht="13.5" thickBot="1">
      <c r="A43" s="547"/>
      <c r="B43" s="547"/>
      <c r="C43" s="70" t="s">
        <v>487</v>
      </c>
      <c r="D43" s="652" t="s">
        <v>643</v>
      </c>
      <c r="E43" s="653"/>
      <c r="F43" s="72" t="s">
        <v>489</v>
      </c>
      <c r="G43" s="131">
        <f>G44+G45+G48+G49+G50</f>
        <v>0</v>
      </c>
      <c r="H43" s="131">
        <f>H44+H45+H48+H49+H50</f>
        <v>0</v>
      </c>
      <c r="I43" s="131">
        <f>I44+I45+I48+I49+I50</f>
        <v>0</v>
      </c>
      <c r="J43" s="131">
        <f>J44+J45+J48+J49+J50</f>
        <v>0</v>
      </c>
      <c r="K43" s="131">
        <f>K44+K45+K48+K49+K50</f>
        <v>0</v>
      </c>
      <c r="M43" s="78">
        <f>M11-M40</f>
        <v>8690</v>
      </c>
    </row>
    <row r="44" spans="1:14" ht="13.5" thickBot="1">
      <c r="A44" s="547"/>
      <c r="B44" s="547"/>
      <c r="C44" s="30" t="s">
        <v>93</v>
      </c>
      <c r="D44" s="552" t="s">
        <v>429</v>
      </c>
      <c r="E44" s="553"/>
      <c r="F44" s="30" t="s">
        <v>491</v>
      </c>
      <c r="G44" s="126">
        <f t="shared" ref="G44:G50" si="1">SUM(H44:K44)</f>
        <v>0</v>
      </c>
      <c r="H44" s="126"/>
      <c r="I44" s="126"/>
      <c r="J44" s="126"/>
      <c r="K44" s="126"/>
    </row>
    <row r="45" spans="1:14" ht="13.5" thickBot="1">
      <c r="A45" s="547"/>
      <c r="B45" s="547"/>
      <c r="C45" s="30" t="s">
        <v>149</v>
      </c>
      <c r="D45" s="552" t="s">
        <v>492</v>
      </c>
      <c r="E45" s="553"/>
      <c r="F45" s="30" t="s">
        <v>493</v>
      </c>
      <c r="G45" s="126">
        <f t="shared" si="1"/>
        <v>0</v>
      </c>
      <c r="H45" s="126"/>
      <c r="I45" s="126"/>
      <c r="J45" s="126"/>
      <c r="K45" s="126"/>
    </row>
    <row r="46" spans="1:14" ht="13.5" thickBot="1">
      <c r="A46" s="547"/>
      <c r="B46" s="547"/>
      <c r="C46" s="30"/>
      <c r="D46" s="53" t="s">
        <v>215</v>
      </c>
      <c r="E46" s="53" t="s">
        <v>494</v>
      </c>
      <c r="F46" s="30" t="s">
        <v>495</v>
      </c>
      <c r="G46" s="126">
        <f t="shared" si="1"/>
        <v>0</v>
      </c>
      <c r="H46" s="126"/>
      <c r="I46" s="126"/>
      <c r="J46" s="126"/>
      <c r="K46" s="126"/>
    </row>
    <row r="47" spans="1:14" ht="13.5" thickBot="1">
      <c r="A47" s="547"/>
      <c r="B47" s="547"/>
      <c r="C47" s="30"/>
      <c r="D47" s="53" t="s">
        <v>239</v>
      </c>
      <c r="E47" s="53" t="s">
        <v>496</v>
      </c>
      <c r="F47" s="30" t="s">
        <v>497</v>
      </c>
      <c r="G47" s="126">
        <f t="shared" si="1"/>
        <v>0</v>
      </c>
      <c r="H47" s="126"/>
      <c r="I47" s="126"/>
      <c r="J47" s="126"/>
      <c r="K47" s="126"/>
    </row>
    <row r="48" spans="1:14" ht="13.5" thickBot="1">
      <c r="A48" s="547"/>
      <c r="B48" s="547"/>
      <c r="C48" s="30" t="s">
        <v>152</v>
      </c>
      <c r="D48" s="654" t="s">
        <v>644</v>
      </c>
      <c r="E48" s="655"/>
      <c r="F48" s="30" t="s">
        <v>499</v>
      </c>
      <c r="G48" s="126">
        <f t="shared" si="1"/>
        <v>0</v>
      </c>
      <c r="H48" s="126"/>
      <c r="I48" s="126"/>
      <c r="J48" s="126"/>
      <c r="K48" s="126"/>
    </row>
    <row r="49" spans="1:13" ht="13.5" thickBot="1">
      <c r="A49" s="547"/>
      <c r="B49" s="547"/>
      <c r="C49" s="30" t="s">
        <v>155</v>
      </c>
      <c r="D49" s="552" t="s">
        <v>500</v>
      </c>
      <c r="E49" s="553"/>
      <c r="F49" s="30" t="s">
        <v>501</v>
      </c>
      <c r="G49" s="126">
        <f t="shared" si="1"/>
        <v>0</v>
      </c>
      <c r="H49" s="126"/>
      <c r="I49" s="126"/>
      <c r="J49" s="126"/>
      <c r="K49" s="126"/>
    </row>
    <row r="50" spans="1:13" ht="13.5" thickBot="1">
      <c r="A50" s="547"/>
      <c r="B50" s="547"/>
      <c r="C50" s="30" t="s">
        <v>94</v>
      </c>
      <c r="D50" s="552" t="s">
        <v>502</v>
      </c>
      <c r="E50" s="553"/>
      <c r="F50" s="30" t="s">
        <v>503</v>
      </c>
      <c r="G50" s="126">
        <f t="shared" si="1"/>
        <v>0</v>
      </c>
      <c r="H50" s="126">
        <v>0</v>
      </c>
      <c r="I50" s="126">
        <v>0</v>
      </c>
      <c r="J50" s="126">
        <v>0</v>
      </c>
      <c r="K50" s="126">
        <v>0</v>
      </c>
    </row>
    <row r="51" spans="1:13" ht="13.5" thickBot="1">
      <c r="A51" s="547"/>
      <c r="B51" s="547"/>
      <c r="C51" s="70" t="s">
        <v>504</v>
      </c>
      <c r="D51" s="647" t="s">
        <v>505</v>
      </c>
      <c r="E51" s="648"/>
      <c r="F51" s="72" t="s">
        <v>506</v>
      </c>
      <c r="G51" s="131">
        <f>SUM(G52:G53)+G56</f>
        <v>0</v>
      </c>
      <c r="H51" s="131">
        <f>SUM(H52:H53)+H56</f>
        <v>0</v>
      </c>
      <c r="I51" s="131">
        <f>SUM(I52:I53)+I56</f>
        <v>0</v>
      </c>
      <c r="J51" s="131">
        <f>SUM(J52:J53)+J56</f>
        <v>0</v>
      </c>
      <c r="K51" s="131">
        <f>SUM(K52:K53)+K56</f>
        <v>0</v>
      </c>
    </row>
    <row r="52" spans="1:13" ht="13.5" thickBot="1">
      <c r="A52" s="547"/>
      <c r="B52" s="547"/>
      <c r="C52" s="30" t="s">
        <v>93</v>
      </c>
      <c r="D52" s="552" t="s">
        <v>507</v>
      </c>
      <c r="E52" s="553"/>
      <c r="F52" s="30" t="s">
        <v>508</v>
      </c>
      <c r="G52" s="126">
        <f>SUM(H52:K52)</f>
        <v>0</v>
      </c>
      <c r="H52" s="126"/>
      <c r="I52" s="126"/>
      <c r="J52" s="126"/>
      <c r="K52" s="126"/>
    </row>
    <row r="53" spans="1:13" ht="13.5" thickBot="1">
      <c r="A53" s="547"/>
      <c r="B53" s="547"/>
      <c r="C53" s="30" t="s">
        <v>149</v>
      </c>
      <c r="D53" s="552" t="s">
        <v>509</v>
      </c>
      <c r="E53" s="553"/>
      <c r="F53" s="30" t="s">
        <v>510</v>
      </c>
      <c r="G53" s="126">
        <f>G54+G55</f>
        <v>0</v>
      </c>
      <c r="H53" s="126">
        <f>H54+H55</f>
        <v>0</v>
      </c>
      <c r="I53" s="126">
        <f>I54+I55</f>
        <v>0</v>
      </c>
      <c r="J53" s="126">
        <f>J54+J55</f>
        <v>0</v>
      </c>
      <c r="K53" s="126">
        <f>K54+K55</f>
        <v>0</v>
      </c>
    </row>
    <row r="54" spans="1:13" ht="13.5" thickBot="1">
      <c r="A54" s="546"/>
      <c r="B54" s="546"/>
      <c r="C54" s="30"/>
      <c r="D54" s="30" t="s">
        <v>215</v>
      </c>
      <c r="E54" s="54" t="s">
        <v>305</v>
      </c>
      <c r="F54" s="30" t="s">
        <v>340</v>
      </c>
      <c r="G54" s="126">
        <f>SUM(H54:K54)</f>
        <v>0</v>
      </c>
      <c r="H54" s="126"/>
      <c r="I54" s="126"/>
      <c r="J54" s="126"/>
      <c r="K54" s="126"/>
    </row>
    <row r="55" spans="1:13" ht="13.5" thickBot="1">
      <c r="A55" s="547"/>
      <c r="B55" s="547"/>
      <c r="C55" s="30"/>
      <c r="D55" s="30" t="s">
        <v>239</v>
      </c>
      <c r="E55" s="53" t="s">
        <v>306</v>
      </c>
      <c r="F55" s="30" t="s">
        <v>341</v>
      </c>
      <c r="G55" s="126">
        <f>SUM(H55:K55)</f>
        <v>0</v>
      </c>
      <c r="H55" s="126">
        <v>0</v>
      </c>
      <c r="I55" s="126">
        <v>0</v>
      </c>
      <c r="J55" s="126">
        <v>0</v>
      </c>
      <c r="K55" s="126">
        <v>0</v>
      </c>
    </row>
    <row r="56" spans="1:13" ht="13.5" thickBot="1">
      <c r="A56" s="547"/>
      <c r="B56" s="547"/>
      <c r="C56" s="30" t="s">
        <v>152</v>
      </c>
      <c r="D56" s="552" t="s">
        <v>307</v>
      </c>
      <c r="E56" s="553"/>
      <c r="F56" s="30" t="s">
        <v>342</v>
      </c>
      <c r="G56" s="126">
        <f>SUM(H56:K56)</f>
        <v>0</v>
      </c>
      <c r="H56" s="126"/>
      <c r="I56" s="126"/>
      <c r="J56" s="126"/>
      <c r="K56" s="126"/>
    </row>
    <row r="57" spans="1:13" ht="13.5" thickBot="1">
      <c r="A57" s="547"/>
      <c r="B57" s="547"/>
      <c r="C57" s="70" t="s">
        <v>308</v>
      </c>
      <c r="D57" s="647" t="s">
        <v>309</v>
      </c>
      <c r="E57" s="648"/>
      <c r="F57" s="72" t="s">
        <v>343</v>
      </c>
      <c r="G57" s="131">
        <f>G58+G59+G61+G68+G73+G74+G78+G79+G80+G89</f>
        <v>0</v>
      </c>
      <c r="H57" s="131">
        <f>H58+H59+H61+H68+H73+H74+H78+H79+H80+H89</f>
        <v>0</v>
      </c>
      <c r="I57" s="131">
        <f>I58+I59+I61+I68+I73+I74+I78+I79+I80+I89</f>
        <v>0</v>
      </c>
      <c r="J57" s="131">
        <f>J58+J59+J61+J68+J73+J74+J78+J79+J80+J89</f>
        <v>0</v>
      </c>
      <c r="K57" s="131">
        <f>K58+K59+K61+K68+K73+K74+K78+K79+K80+K89</f>
        <v>0</v>
      </c>
      <c r="L57" s="74"/>
      <c r="M57" s="74"/>
    </row>
    <row r="58" spans="1:13" ht="13.5" thickBot="1">
      <c r="A58" s="547"/>
      <c r="B58" s="547"/>
      <c r="C58" s="30" t="s">
        <v>93</v>
      </c>
      <c r="D58" s="540" t="s">
        <v>310</v>
      </c>
      <c r="E58" s="541"/>
      <c r="F58" s="73" t="s">
        <v>344</v>
      </c>
      <c r="G58" s="127">
        <f>SUM(H58:K58)</f>
        <v>0</v>
      </c>
      <c r="H58" s="127"/>
      <c r="I58" s="127"/>
      <c r="J58" s="127"/>
      <c r="K58" s="127"/>
    </row>
    <row r="59" spans="1:13" ht="13.5" thickBot="1">
      <c r="A59" s="547"/>
      <c r="B59" s="547"/>
      <c r="C59" s="30" t="s">
        <v>149</v>
      </c>
      <c r="D59" s="540" t="s">
        <v>311</v>
      </c>
      <c r="E59" s="541"/>
      <c r="F59" s="73" t="s">
        <v>345</v>
      </c>
      <c r="G59" s="127">
        <f>SUM(H59:K59)</f>
        <v>0</v>
      </c>
      <c r="H59" s="127"/>
      <c r="I59" s="127"/>
      <c r="J59" s="127"/>
      <c r="K59" s="127"/>
    </row>
    <row r="60" spans="1:13" ht="13.5" thickBot="1">
      <c r="A60" s="547"/>
      <c r="B60" s="547"/>
      <c r="C60" s="30"/>
      <c r="D60" s="540" t="s">
        <v>708</v>
      </c>
      <c r="E60" s="541"/>
      <c r="F60" s="73" t="s">
        <v>346</v>
      </c>
      <c r="G60" s="127">
        <f>SUM(H60:K60)</f>
        <v>0</v>
      </c>
      <c r="H60" s="127"/>
      <c r="I60" s="127"/>
      <c r="J60" s="127"/>
      <c r="K60" s="127"/>
    </row>
    <row r="61" spans="1:13" ht="30.75" customHeight="1" thickBot="1">
      <c r="A61" s="547"/>
      <c r="B61" s="547"/>
      <c r="C61" s="30" t="s">
        <v>152</v>
      </c>
      <c r="D61" s="554" t="s">
        <v>312</v>
      </c>
      <c r="E61" s="555"/>
      <c r="F61" s="30" t="s">
        <v>347</v>
      </c>
      <c r="G61" s="126">
        <f>G62+G64</f>
        <v>0</v>
      </c>
      <c r="H61" s="126">
        <f>H62+H64</f>
        <v>0</v>
      </c>
      <c r="I61" s="126">
        <f>I62+I64</f>
        <v>0</v>
      </c>
      <c r="J61" s="126">
        <f>J62+J64</f>
        <v>0</v>
      </c>
      <c r="K61" s="126">
        <f>K62+K64</f>
        <v>0</v>
      </c>
    </row>
    <row r="62" spans="1:13" ht="13.5" thickBot="1">
      <c r="A62" s="547"/>
      <c r="B62" s="547"/>
      <c r="C62" s="30"/>
      <c r="D62" s="30" t="s">
        <v>514</v>
      </c>
      <c r="E62" s="53" t="s">
        <v>313</v>
      </c>
      <c r="F62" s="30" t="s">
        <v>348</v>
      </c>
      <c r="G62" s="126">
        <f>SUM(H62:K62)</f>
        <v>0</v>
      </c>
      <c r="H62" s="126"/>
      <c r="I62" s="126"/>
      <c r="J62" s="126"/>
      <c r="K62" s="126"/>
    </row>
    <row r="63" spans="1:13" ht="26.25" thickBot="1">
      <c r="A63" s="547"/>
      <c r="B63" s="547"/>
      <c r="C63" s="30"/>
      <c r="D63" s="30"/>
      <c r="E63" s="54" t="s">
        <v>314</v>
      </c>
      <c r="F63" s="30" t="s">
        <v>349</v>
      </c>
      <c r="G63" s="126">
        <f>SUM(H63:K63)</f>
        <v>0</v>
      </c>
      <c r="H63" s="126"/>
      <c r="I63" s="126"/>
      <c r="J63" s="126"/>
      <c r="K63" s="126"/>
    </row>
    <row r="64" spans="1:13" ht="13.5" thickBot="1">
      <c r="A64" s="547"/>
      <c r="B64" s="547"/>
      <c r="C64" s="30"/>
      <c r="D64" s="30" t="s">
        <v>315</v>
      </c>
      <c r="E64" s="53" t="s">
        <v>316</v>
      </c>
      <c r="F64" s="30" t="s">
        <v>350</v>
      </c>
      <c r="G64" s="126">
        <f>SUM(H64:K64)</f>
        <v>0</v>
      </c>
      <c r="H64" s="126"/>
      <c r="I64" s="126"/>
      <c r="J64" s="126"/>
      <c r="K64" s="126"/>
    </row>
    <row r="65" spans="1:11" ht="26.25" thickBot="1">
      <c r="A65" s="547"/>
      <c r="B65" s="547"/>
      <c r="C65" s="30"/>
      <c r="D65" s="30"/>
      <c r="E65" s="54" t="s">
        <v>317</v>
      </c>
      <c r="F65" s="30" t="s">
        <v>351</v>
      </c>
      <c r="G65" s="126">
        <f>SUM(H65:K65)</f>
        <v>0</v>
      </c>
      <c r="H65" s="126"/>
      <c r="I65" s="126"/>
      <c r="J65" s="126"/>
      <c r="K65" s="126"/>
    </row>
    <row r="66" spans="1:11" ht="39" thickBot="1">
      <c r="A66" s="547"/>
      <c r="B66" s="547"/>
      <c r="C66" s="30"/>
      <c r="D66" s="30"/>
      <c r="E66" s="54" t="s">
        <v>318</v>
      </c>
      <c r="F66" s="30" t="s">
        <v>352</v>
      </c>
      <c r="G66" s="126">
        <f>SUM(H66:K66)</f>
        <v>0</v>
      </c>
      <c r="H66" s="126"/>
      <c r="I66" s="126"/>
      <c r="J66" s="126"/>
      <c r="K66" s="126"/>
    </row>
    <row r="67" spans="1:11" ht="13.5" thickBot="1">
      <c r="A67" s="547"/>
      <c r="B67" s="547"/>
      <c r="C67" s="30"/>
      <c r="D67" s="30"/>
      <c r="E67" s="53" t="s">
        <v>319</v>
      </c>
      <c r="F67" s="30" t="s">
        <v>353</v>
      </c>
      <c r="G67" s="126"/>
      <c r="H67" s="126"/>
      <c r="I67" s="126"/>
      <c r="J67" s="126"/>
      <c r="K67" s="126"/>
    </row>
    <row r="68" spans="1:11" ht="27.75" customHeight="1" thickBot="1">
      <c r="A68" s="547"/>
      <c r="B68" s="547"/>
      <c r="C68" s="30" t="s">
        <v>155</v>
      </c>
      <c r="D68" s="554" t="s">
        <v>320</v>
      </c>
      <c r="E68" s="555"/>
      <c r="F68" s="30" t="s">
        <v>354</v>
      </c>
      <c r="G68" s="126">
        <f>G69+G70+G71+G72</f>
        <v>0</v>
      </c>
      <c r="H68" s="126">
        <f>H69+H70+H71+H72</f>
        <v>0</v>
      </c>
      <c r="I68" s="126">
        <f>I69+I70+I71+I72</f>
        <v>0</v>
      </c>
      <c r="J68" s="126">
        <f>J69+J70+J71+J72</f>
        <v>0</v>
      </c>
      <c r="K68" s="126">
        <f>K69+K70+K71+K72</f>
        <v>0</v>
      </c>
    </row>
    <row r="69" spans="1:11" ht="13.5" thickBot="1">
      <c r="A69" s="547"/>
      <c r="B69" s="547"/>
      <c r="C69" s="30"/>
      <c r="D69" s="73" t="s">
        <v>321</v>
      </c>
      <c r="E69" s="105" t="s">
        <v>440</v>
      </c>
      <c r="F69" s="73" t="s">
        <v>122</v>
      </c>
      <c r="G69" s="127">
        <f t="shared" ref="G69:G74" si="2">SUM(H69:K69)</f>
        <v>0</v>
      </c>
      <c r="H69" s="127"/>
      <c r="I69" s="127"/>
      <c r="J69" s="127"/>
      <c r="K69" s="127"/>
    </row>
    <row r="70" spans="1:11" ht="13.5" thickBot="1">
      <c r="A70" s="547"/>
      <c r="B70" s="547"/>
      <c r="C70" s="30"/>
      <c r="D70" s="73" t="s">
        <v>322</v>
      </c>
      <c r="E70" s="105" t="s">
        <v>709</v>
      </c>
      <c r="F70" s="73" t="s">
        <v>123</v>
      </c>
      <c r="G70" s="127">
        <f t="shared" si="2"/>
        <v>0</v>
      </c>
      <c r="H70" s="127"/>
      <c r="I70" s="127"/>
      <c r="J70" s="127"/>
      <c r="K70" s="127"/>
    </row>
    <row r="71" spans="1:11" ht="13.5" thickBot="1">
      <c r="A71" s="547"/>
      <c r="B71" s="547"/>
      <c r="C71" s="30"/>
      <c r="D71" s="73" t="s">
        <v>323</v>
      </c>
      <c r="E71" s="106" t="s">
        <v>710</v>
      </c>
      <c r="F71" s="73" t="s">
        <v>124</v>
      </c>
      <c r="G71" s="127">
        <f t="shared" si="2"/>
        <v>0</v>
      </c>
      <c r="H71" s="127"/>
      <c r="I71" s="127"/>
      <c r="J71" s="127"/>
      <c r="K71" s="127"/>
    </row>
    <row r="72" spans="1:11" ht="13.5" thickBot="1">
      <c r="A72" s="547"/>
      <c r="B72" s="547"/>
      <c r="C72" s="30"/>
      <c r="D72" s="73" t="s">
        <v>324</v>
      </c>
      <c r="E72" s="105" t="s">
        <v>711</v>
      </c>
      <c r="F72" s="73" t="s">
        <v>125</v>
      </c>
      <c r="G72" s="127">
        <f t="shared" si="2"/>
        <v>0</v>
      </c>
      <c r="H72" s="127"/>
      <c r="I72" s="127"/>
      <c r="J72" s="127"/>
      <c r="K72" s="127"/>
    </row>
    <row r="73" spans="1:11" ht="13.5" thickBot="1">
      <c r="A73" s="547"/>
      <c r="B73" s="547"/>
      <c r="C73" s="30" t="s">
        <v>94</v>
      </c>
      <c r="D73" s="552" t="s">
        <v>325</v>
      </c>
      <c r="E73" s="553"/>
      <c r="F73" s="30" t="s">
        <v>126</v>
      </c>
      <c r="G73" s="127">
        <f t="shared" si="2"/>
        <v>0</v>
      </c>
      <c r="H73" s="127"/>
      <c r="I73" s="126"/>
      <c r="J73" s="126"/>
      <c r="K73" s="126"/>
    </row>
    <row r="74" spans="1:11" ht="13.5" thickBot="1">
      <c r="A74" s="547"/>
      <c r="B74" s="547"/>
      <c r="C74" s="30" t="s">
        <v>105</v>
      </c>
      <c r="D74" s="552" t="s">
        <v>326</v>
      </c>
      <c r="E74" s="553"/>
      <c r="F74" s="30" t="s">
        <v>128</v>
      </c>
      <c r="G74" s="127">
        <f t="shared" si="2"/>
        <v>0</v>
      </c>
      <c r="H74" s="126"/>
      <c r="I74" s="126"/>
      <c r="J74" s="126"/>
      <c r="K74" s="126"/>
    </row>
    <row r="75" spans="1:11" ht="13.5" thickBot="1">
      <c r="A75" s="547"/>
      <c r="B75" s="547"/>
      <c r="C75" s="30"/>
      <c r="D75" s="552" t="s">
        <v>327</v>
      </c>
      <c r="E75" s="553"/>
      <c r="F75" s="30" t="s">
        <v>129</v>
      </c>
      <c r="G75" s="126">
        <f>G76+G77</f>
        <v>0</v>
      </c>
      <c r="H75" s="126">
        <f>H76+H77</f>
        <v>0</v>
      </c>
      <c r="I75" s="126">
        <f>I76+I77</f>
        <v>0</v>
      </c>
      <c r="J75" s="126">
        <f>J76+J77</f>
        <v>0</v>
      </c>
      <c r="K75" s="126">
        <f>K76+K77</f>
        <v>0</v>
      </c>
    </row>
    <row r="76" spans="1:11" ht="13.5" thickBot="1">
      <c r="A76" s="547"/>
      <c r="B76" s="547"/>
      <c r="C76" s="30"/>
      <c r="D76" s="532" t="s">
        <v>712</v>
      </c>
      <c r="E76" s="533"/>
      <c r="F76" s="73" t="s">
        <v>130</v>
      </c>
      <c r="G76" s="127">
        <f>SUM(H76:K76)</f>
        <v>0</v>
      </c>
      <c r="H76" s="127"/>
      <c r="I76" s="127"/>
      <c r="J76" s="127"/>
      <c r="K76" s="127"/>
    </row>
    <row r="77" spans="1:11" ht="13.5" thickBot="1">
      <c r="A77" s="547"/>
      <c r="B77" s="547"/>
      <c r="C77" s="30"/>
      <c r="D77" s="532" t="s">
        <v>713</v>
      </c>
      <c r="E77" s="533"/>
      <c r="F77" s="73" t="s">
        <v>131</v>
      </c>
      <c r="G77" s="127">
        <f>SUM(H77:K77)</f>
        <v>0</v>
      </c>
      <c r="H77" s="127"/>
      <c r="I77" s="127"/>
      <c r="J77" s="127"/>
      <c r="K77" s="127"/>
    </row>
    <row r="78" spans="1:11" ht="13.5" thickBot="1">
      <c r="A78" s="547"/>
      <c r="B78" s="547"/>
      <c r="C78" s="30" t="s">
        <v>132</v>
      </c>
      <c r="D78" s="552" t="s">
        <v>328</v>
      </c>
      <c r="E78" s="553"/>
      <c r="F78" s="30" t="s">
        <v>133</v>
      </c>
      <c r="G78" s="126">
        <f>SUM(H78:K78)</f>
        <v>0</v>
      </c>
      <c r="H78" s="126"/>
      <c r="I78" s="126"/>
      <c r="J78" s="126"/>
      <c r="K78" s="126"/>
    </row>
    <row r="79" spans="1:11" ht="13.5" thickBot="1">
      <c r="A79" s="547"/>
      <c r="B79" s="547"/>
      <c r="C79" s="30" t="s">
        <v>329</v>
      </c>
      <c r="D79" s="552" t="s">
        <v>330</v>
      </c>
      <c r="E79" s="553"/>
      <c r="F79" s="30" t="s">
        <v>134</v>
      </c>
      <c r="G79" s="126">
        <f>SUM(H79:K79)</f>
        <v>0</v>
      </c>
      <c r="H79" s="126"/>
      <c r="I79" s="126"/>
      <c r="J79" s="126"/>
      <c r="K79" s="126"/>
    </row>
    <row r="80" spans="1:11" ht="30.75" customHeight="1" thickBot="1">
      <c r="A80" s="547"/>
      <c r="B80" s="547"/>
      <c r="C80" s="30" t="s">
        <v>331</v>
      </c>
      <c r="D80" s="554" t="s">
        <v>332</v>
      </c>
      <c r="E80" s="555"/>
      <c r="F80" s="30" t="s">
        <v>135</v>
      </c>
      <c r="G80" s="126">
        <f>SUM(G81:G88)</f>
        <v>0</v>
      </c>
      <c r="H80" s="126">
        <f>SUM(H81:H88)</f>
        <v>0</v>
      </c>
      <c r="I80" s="126">
        <f>SUM(I81:I88)</f>
        <v>0</v>
      </c>
      <c r="J80" s="126">
        <f>SUM(J81:J88)</f>
        <v>0</v>
      </c>
      <c r="K80" s="126">
        <f>SUM(K81:K88)</f>
        <v>0</v>
      </c>
    </row>
    <row r="81" spans="1:17" ht="13.5" thickBot="1">
      <c r="A81" s="547"/>
      <c r="B81" s="547"/>
      <c r="C81" s="30"/>
      <c r="D81" s="30" t="s">
        <v>181</v>
      </c>
      <c r="E81" s="53" t="s">
        <v>333</v>
      </c>
      <c r="F81" s="30" t="s">
        <v>136</v>
      </c>
      <c r="G81" s="126">
        <f>SUM(H81:K81)</f>
        <v>0</v>
      </c>
      <c r="H81" s="126"/>
      <c r="I81" s="126"/>
      <c r="J81" s="126"/>
      <c r="K81" s="126"/>
    </row>
    <row r="82" spans="1:17" ht="13.5" thickBot="1">
      <c r="A82" s="547"/>
      <c r="B82" s="547"/>
      <c r="C82" s="30"/>
      <c r="D82" s="30" t="s">
        <v>182</v>
      </c>
      <c r="E82" s="54" t="s">
        <v>432</v>
      </c>
      <c r="F82" s="30" t="s">
        <v>137</v>
      </c>
      <c r="G82" s="126">
        <f>SUM(H82:K82)</f>
        <v>0</v>
      </c>
      <c r="H82" s="126"/>
      <c r="I82" s="126"/>
      <c r="J82" s="126"/>
      <c r="K82" s="126"/>
    </row>
    <row r="83" spans="1:17" ht="13.5" thickBot="1">
      <c r="A83" s="547"/>
      <c r="B83" s="547"/>
      <c r="C83" s="30"/>
      <c r="D83" s="30" t="s">
        <v>183</v>
      </c>
      <c r="E83" s="53" t="s">
        <v>334</v>
      </c>
      <c r="F83" s="30" t="s">
        <v>138</v>
      </c>
      <c r="G83" s="126">
        <f t="shared" ref="G83:G88" si="3">SUM(H83:K83)</f>
        <v>0</v>
      </c>
      <c r="H83" s="126"/>
      <c r="I83" s="126"/>
      <c r="J83" s="126"/>
      <c r="K83" s="126"/>
    </row>
    <row r="84" spans="1:17" ht="26.25" thickBot="1">
      <c r="A84" s="547"/>
      <c r="B84" s="547"/>
      <c r="C84" s="30"/>
      <c r="D84" s="30" t="s">
        <v>184</v>
      </c>
      <c r="E84" s="54" t="s">
        <v>335</v>
      </c>
      <c r="F84" s="30" t="s">
        <v>139</v>
      </c>
      <c r="G84" s="126">
        <f t="shared" si="3"/>
        <v>0</v>
      </c>
      <c r="H84" s="126"/>
      <c r="I84" s="126"/>
      <c r="J84" s="126"/>
      <c r="K84" s="126"/>
    </row>
    <row r="85" spans="1:17" ht="13.5" thickBot="1">
      <c r="A85" s="547"/>
      <c r="B85" s="547"/>
      <c r="C85" s="30"/>
      <c r="D85" s="30"/>
      <c r="E85" s="53" t="s">
        <v>714</v>
      </c>
      <c r="F85" s="30" t="s">
        <v>140</v>
      </c>
      <c r="G85" s="126">
        <f t="shared" si="3"/>
        <v>0</v>
      </c>
      <c r="H85" s="126"/>
      <c r="I85" s="126"/>
      <c r="J85" s="126"/>
      <c r="K85" s="126"/>
    </row>
    <row r="86" spans="1:17" ht="13.5" thickBot="1">
      <c r="A86" s="547"/>
      <c r="B86" s="547"/>
      <c r="C86" s="30"/>
      <c r="D86" s="30" t="s">
        <v>185</v>
      </c>
      <c r="E86" s="53" t="s">
        <v>336</v>
      </c>
      <c r="F86" s="30" t="s">
        <v>141</v>
      </c>
      <c r="G86" s="126">
        <f t="shared" si="3"/>
        <v>0</v>
      </c>
      <c r="H86" s="126"/>
      <c r="I86" s="126"/>
      <c r="J86" s="126"/>
      <c r="K86" s="126"/>
    </row>
    <row r="87" spans="1:17" ht="39" thickBot="1">
      <c r="A87" s="547"/>
      <c r="B87" s="547"/>
      <c r="C87" s="30"/>
      <c r="D87" s="30" t="s">
        <v>186</v>
      </c>
      <c r="E87" s="54" t="s">
        <v>337</v>
      </c>
      <c r="F87" s="30" t="s">
        <v>142</v>
      </c>
      <c r="G87" s="126">
        <f t="shared" si="3"/>
        <v>0</v>
      </c>
      <c r="H87" s="126"/>
      <c r="I87" s="126"/>
      <c r="J87" s="126"/>
      <c r="K87" s="126"/>
    </row>
    <row r="88" spans="1:17" ht="13.5" thickBot="1">
      <c r="A88" s="547"/>
      <c r="B88" s="547"/>
      <c r="C88" s="30"/>
      <c r="D88" s="30" t="s">
        <v>187</v>
      </c>
      <c r="E88" s="54" t="s">
        <v>338</v>
      </c>
      <c r="F88" s="30" t="s">
        <v>143</v>
      </c>
      <c r="G88" s="126">
        <f t="shared" si="3"/>
        <v>0</v>
      </c>
      <c r="H88" s="126"/>
      <c r="I88" s="126"/>
      <c r="J88" s="126"/>
      <c r="K88" s="126"/>
      <c r="L88" s="144"/>
      <c r="M88" s="144"/>
      <c r="N88" s="144"/>
      <c r="O88" s="144"/>
      <c r="P88" s="144"/>
      <c r="Q88" s="144"/>
    </row>
    <row r="89" spans="1:17" ht="13.5" thickBot="1">
      <c r="A89" s="547"/>
      <c r="B89" s="547"/>
      <c r="C89" s="30" t="s">
        <v>645</v>
      </c>
      <c r="D89" s="463" t="s">
        <v>296</v>
      </c>
      <c r="E89" s="464"/>
      <c r="F89" s="30" t="s">
        <v>145</v>
      </c>
      <c r="G89" s="126">
        <f>SUM(H89:K89)</f>
        <v>0</v>
      </c>
      <c r="H89" s="126"/>
      <c r="I89" s="126"/>
      <c r="J89" s="126"/>
      <c r="K89" s="126"/>
      <c r="L89" s="144"/>
      <c r="M89" s="144"/>
      <c r="N89" s="144"/>
      <c r="O89" s="144"/>
      <c r="P89" s="144"/>
      <c r="Q89" s="144"/>
    </row>
    <row r="90" spans="1:17" ht="31.5" customHeight="1" thickBot="1">
      <c r="A90" s="547"/>
      <c r="B90" s="547"/>
      <c r="C90" s="649" t="s">
        <v>355</v>
      </c>
      <c r="D90" s="650"/>
      <c r="E90" s="651"/>
      <c r="F90" s="70" t="s">
        <v>146</v>
      </c>
      <c r="G90" s="130">
        <f>G91+G92+G93+G94+G95+G96</f>
        <v>0</v>
      </c>
      <c r="H90" s="130">
        <f>H91+H92+H93+H94+H95+H96</f>
        <v>0</v>
      </c>
      <c r="I90" s="130">
        <f>I91+I92+I93+I94+I95+I96</f>
        <v>0</v>
      </c>
      <c r="J90" s="130">
        <f>J91+J92+J93+J94+J95+J96</f>
        <v>0</v>
      </c>
      <c r="K90" s="130">
        <f>K91+K92+K93+K94+K95+K96</f>
        <v>0</v>
      </c>
      <c r="L90" s="144"/>
      <c r="M90" s="77"/>
      <c r="N90" s="144"/>
      <c r="O90" s="77"/>
      <c r="P90" s="144"/>
      <c r="Q90" s="144"/>
    </row>
    <row r="91" spans="1:17" ht="13.5" thickBot="1">
      <c r="A91" s="547"/>
      <c r="B91" s="547"/>
      <c r="C91" s="30" t="s">
        <v>93</v>
      </c>
      <c r="D91" s="654" t="s">
        <v>356</v>
      </c>
      <c r="E91" s="655"/>
      <c r="F91" s="30" t="s">
        <v>148</v>
      </c>
      <c r="G91" s="126">
        <f t="shared" ref="G91:G96" si="4">SUM(H91:K91)</f>
        <v>0</v>
      </c>
      <c r="H91" s="126">
        <v>0</v>
      </c>
      <c r="I91" s="126">
        <v>0</v>
      </c>
      <c r="J91" s="126">
        <v>0</v>
      </c>
      <c r="K91" s="126">
        <v>0</v>
      </c>
      <c r="L91" s="144"/>
      <c r="M91" s="144"/>
      <c r="N91" s="144"/>
      <c r="O91" s="144"/>
      <c r="P91" s="144"/>
      <c r="Q91" s="144"/>
    </row>
    <row r="92" spans="1:17" ht="13.5" thickBot="1">
      <c r="A92" s="547"/>
      <c r="B92" s="547"/>
      <c r="C92" s="30" t="s">
        <v>149</v>
      </c>
      <c r="D92" s="654" t="s">
        <v>715</v>
      </c>
      <c r="E92" s="655"/>
      <c r="F92" s="30" t="s">
        <v>151</v>
      </c>
      <c r="G92" s="126">
        <f t="shared" si="4"/>
        <v>0</v>
      </c>
      <c r="H92" s="126"/>
      <c r="I92" s="126"/>
      <c r="J92" s="126"/>
      <c r="K92" s="126"/>
      <c r="L92" s="144"/>
      <c r="M92" s="144"/>
      <c r="N92" s="144"/>
      <c r="O92" s="144"/>
      <c r="P92" s="144"/>
      <c r="Q92" s="144"/>
    </row>
    <row r="93" spans="1:17" ht="13.5" thickBot="1">
      <c r="A93" s="547"/>
      <c r="B93" s="547"/>
      <c r="C93" s="30" t="s">
        <v>152</v>
      </c>
      <c r="D93" s="552" t="s">
        <v>153</v>
      </c>
      <c r="E93" s="553"/>
      <c r="F93" s="30" t="s">
        <v>154</v>
      </c>
      <c r="G93" s="126">
        <f t="shared" si="4"/>
        <v>0</v>
      </c>
      <c r="H93" s="126"/>
      <c r="I93" s="126"/>
      <c r="J93" s="126"/>
      <c r="K93" s="126"/>
      <c r="L93" s="144"/>
      <c r="M93" s="144"/>
      <c r="N93" s="144"/>
      <c r="O93" s="144"/>
      <c r="P93" s="144"/>
      <c r="Q93" s="144"/>
    </row>
    <row r="94" spans="1:17" ht="13.5" thickBot="1">
      <c r="A94" s="547"/>
      <c r="B94" s="547"/>
      <c r="C94" s="30" t="s">
        <v>155</v>
      </c>
      <c r="D94" s="552" t="s">
        <v>156</v>
      </c>
      <c r="E94" s="553"/>
      <c r="F94" s="30" t="s">
        <v>157</v>
      </c>
      <c r="G94" s="126">
        <f t="shared" si="4"/>
        <v>0</v>
      </c>
      <c r="H94" s="126"/>
      <c r="I94" s="126"/>
      <c r="J94" s="126"/>
      <c r="K94" s="126"/>
      <c r="L94" s="144"/>
      <c r="M94" s="144"/>
      <c r="N94" s="144"/>
      <c r="O94" s="144"/>
      <c r="P94" s="144"/>
      <c r="Q94" s="144"/>
    </row>
    <row r="95" spans="1:17" ht="13.5" thickBot="1">
      <c r="A95" s="546"/>
      <c r="B95" s="546"/>
      <c r="C95" s="30" t="s">
        <v>94</v>
      </c>
      <c r="D95" s="552" t="s">
        <v>158</v>
      </c>
      <c r="E95" s="553"/>
      <c r="F95" s="30" t="s">
        <v>159</v>
      </c>
      <c r="G95" s="126">
        <f t="shared" si="4"/>
        <v>0</v>
      </c>
      <c r="H95" s="126"/>
      <c r="I95" s="126"/>
      <c r="J95" s="126"/>
      <c r="K95" s="126"/>
      <c r="L95" s="144"/>
      <c r="M95" s="144"/>
      <c r="N95" s="144"/>
      <c r="O95" s="144"/>
      <c r="P95" s="144"/>
      <c r="Q95" s="144"/>
    </row>
    <row r="96" spans="1:17" ht="13.5" thickBot="1">
      <c r="A96" s="547"/>
      <c r="B96" s="547"/>
      <c r="C96" s="30" t="s">
        <v>105</v>
      </c>
      <c r="D96" s="552" t="s">
        <v>160</v>
      </c>
      <c r="E96" s="553"/>
      <c r="F96" s="30" t="s">
        <v>161</v>
      </c>
      <c r="G96" s="126">
        <f t="shared" si="4"/>
        <v>0</v>
      </c>
      <c r="H96" s="126"/>
      <c r="I96" s="126"/>
      <c r="J96" s="126"/>
      <c r="K96" s="126"/>
      <c r="L96" s="144"/>
      <c r="M96" s="144"/>
      <c r="N96" s="144"/>
      <c r="O96" s="144"/>
      <c r="P96" s="144"/>
      <c r="Q96" s="144"/>
    </row>
    <row r="97" spans="1:11" ht="36" customHeight="1" thickBot="1">
      <c r="A97" s="547"/>
      <c r="B97" s="547"/>
      <c r="C97" s="649" t="s">
        <v>357</v>
      </c>
      <c r="D97" s="650"/>
      <c r="E97" s="651"/>
      <c r="F97" s="70" t="s">
        <v>162</v>
      </c>
      <c r="G97" s="130">
        <f>G98+G102+G110+G114+G119</f>
        <v>0</v>
      </c>
      <c r="H97" s="130"/>
      <c r="I97" s="130">
        <f>I98+I102+I110+I114+I119</f>
        <v>0</v>
      </c>
      <c r="J97" s="130">
        <f>J98+J102+J110+J114+J119</f>
        <v>0</v>
      </c>
      <c r="K97" s="130">
        <f>K98+K102+K110+K114+K119</f>
        <v>0</v>
      </c>
    </row>
    <row r="98" spans="1:11" ht="29.25" customHeight="1" thickBot="1">
      <c r="A98" s="547"/>
      <c r="B98" s="547"/>
      <c r="C98" s="72" t="s">
        <v>163</v>
      </c>
      <c r="D98" s="649" t="s">
        <v>358</v>
      </c>
      <c r="E98" s="651"/>
      <c r="F98" s="70" t="s">
        <v>165</v>
      </c>
      <c r="G98" s="130">
        <f>G99+G100+G101</f>
        <v>0</v>
      </c>
      <c r="H98" s="130">
        <f>H99+H100+H101</f>
        <v>0</v>
      </c>
      <c r="I98" s="130">
        <f>I99+I100+I101</f>
        <v>0</v>
      </c>
      <c r="J98" s="130">
        <f>J99+J100+J101</f>
        <v>0</v>
      </c>
      <c r="K98" s="130">
        <f>K99+K100+K101</f>
        <v>0</v>
      </c>
    </row>
    <row r="99" spans="1:11" ht="13.5" thickBot="1">
      <c r="A99" s="547"/>
      <c r="B99" s="547"/>
      <c r="C99" s="546"/>
      <c r="D99" s="552" t="s">
        <v>359</v>
      </c>
      <c r="E99" s="553"/>
      <c r="F99" s="30" t="s">
        <v>167</v>
      </c>
      <c r="G99" s="127">
        <f>SUM(H99:K99)</f>
        <v>0</v>
      </c>
      <c r="H99" s="126"/>
      <c r="I99" s="126"/>
      <c r="J99" s="126"/>
      <c r="K99" s="126"/>
    </row>
    <row r="100" spans="1:11" ht="13.5" thickBot="1">
      <c r="A100" s="547"/>
      <c r="B100" s="547"/>
      <c r="C100" s="547"/>
      <c r="D100" s="654" t="s">
        <v>360</v>
      </c>
      <c r="E100" s="655"/>
      <c r="F100" s="30" t="s">
        <v>361</v>
      </c>
      <c r="G100" s="127">
        <f>SUM(H100:K100)</f>
        <v>0</v>
      </c>
      <c r="H100" s="126"/>
      <c r="I100" s="126"/>
      <c r="J100" s="126"/>
      <c r="K100" s="126"/>
    </row>
    <row r="101" spans="1:11" ht="13.5" thickBot="1">
      <c r="A101" s="547"/>
      <c r="B101" s="547"/>
      <c r="C101" s="557"/>
      <c r="D101" s="552" t="s">
        <v>362</v>
      </c>
      <c r="E101" s="553"/>
      <c r="F101" s="30" t="s">
        <v>363</v>
      </c>
      <c r="G101" s="127">
        <f>SUM(H101:K101)</f>
        <v>0</v>
      </c>
      <c r="H101" s="126"/>
      <c r="I101" s="126"/>
      <c r="J101" s="126"/>
      <c r="K101" s="126"/>
    </row>
    <row r="102" spans="1:11" ht="33.75" customHeight="1" thickBot="1">
      <c r="A102" s="547"/>
      <c r="B102" s="547"/>
      <c r="C102" s="72" t="s">
        <v>197</v>
      </c>
      <c r="D102" s="649" t="s">
        <v>716</v>
      </c>
      <c r="E102" s="651"/>
      <c r="F102" s="70" t="s">
        <v>364</v>
      </c>
      <c r="G102" s="130">
        <f>G103+G106+G107+G108+G109</f>
        <v>0</v>
      </c>
      <c r="H102" s="130">
        <f>H103+H106+H107+H108+H109</f>
        <v>0</v>
      </c>
      <c r="I102" s="130">
        <f>I103+I106+I107+I108+I109</f>
        <v>0</v>
      </c>
      <c r="J102" s="130">
        <f>J103+J106+J107+J108+J109</f>
        <v>0</v>
      </c>
      <c r="K102" s="130">
        <f>K103+K106+K107+K108+K109</f>
        <v>0</v>
      </c>
    </row>
    <row r="103" spans="1:11" ht="45" customHeight="1" thickBot="1">
      <c r="A103" s="547"/>
      <c r="B103" s="547"/>
      <c r="C103" s="30"/>
      <c r="D103" s="554" t="s">
        <v>339</v>
      </c>
      <c r="E103" s="555"/>
      <c r="F103" s="30" t="s">
        <v>365</v>
      </c>
      <c r="G103" s="126">
        <f t="shared" ref="G103:G109" si="5">SUM(H103:K103)</f>
        <v>0</v>
      </c>
      <c r="H103" s="126"/>
      <c r="I103" s="126"/>
      <c r="J103" s="126"/>
      <c r="K103" s="126"/>
    </row>
    <row r="104" spans="1:11" ht="26.25" thickBot="1">
      <c r="A104" s="547"/>
      <c r="B104" s="547"/>
      <c r="C104" s="30"/>
      <c r="D104" s="30"/>
      <c r="E104" s="54" t="s">
        <v>366</v>
      </c>
      <c r="F104" s="30" t="s">
        <v>367</v>
      </c>
      <c r="G104" s="126">
        <f t="shared" si="5"/>
        <v>0</v>
      </c>
      <c r="H104" s="126"/>
      <c r="I104" s="126"/>
      <c r="J104" s="126"/>
      <c r="K104" s="126"/>
    </row>
    <row r="105" spans="1:11" ht="26.25" thickBot="1">
      <c r="A105" s="547"/>
      <c r="B105" s="547"/>
      <c r="C105" s="30"/>
      <c r="D105" s="30"/>
      <c r="E105" s="54" t="s">
        <v>368</v>
      </c>
      <c r="F105" s="30" t="s">
        <v>369</v>
      </c>
      <c r="G105" s="126">
        <f t="shared" si="5"/>
        <v>0</v>
      </c>
      <c r="H105" s="126"/>
      <c r="I105" s="126"/>
      <c r="J105" s="126"/>
      <c r="K105" s="126"/>
    </row>
    <row r="106" spans="1:11" ht="13.5" thickBot="1">
      <c r="A106" s="547"/>
      <c r="B106" s="547"/>
      <c r="C106" s="30"/>
      <c r="D106" s="552" t="s">
        <v>213</v>
      </c>
      <c r="E106" s="553"/>
      <c r="F106" s="30" t="s">
        <v>370</v>
      </c>
      <c r="G106" s="126">
        <f t="shared" si="5"/>
        <v>0</v>
      </c>
      <c r="H106" s="126"/>
      <c r="I106" s="126"/>
      <c r="J106" s="126"/>
      <c r="K106" s="126"/>
    </row>
    <row r="107" spans="1:11" ht="13.5" thickBot="1">
      <c r="A107" s="547"/>
      <c r="B107" s="547"/>
      <c r="C107" s="30"/>
      <c r="D107" s="552" t="s">
        <v>371</v>
      </c>
      <c r="E107" s="553"/>
      <c r="F107" s="30" t="s">
        <v>372</v>
      </c>
      <c r="G107" s="126">
        <f t="shared" si="5"/>
        <v>0</v>
      </c>
      <c r="H107" s="126"/>
      <c r="I107" s="126"/>
      <c r="J107" s="126"/>
      <c r="K107" s="126"/>
    </row>
    <row r="108" spans="1:11" ht="13.5" thickBot="1">
      <c r="A108" s="547"/>
      <c r="B108" s="547"/>
      <c r="C108" s="30"/>
      <c r="D108" s="554" t="s">
        <v>717</v>
      </c>
      <c r="E108" s="555"/>
      <c r="F108" s="30" t="s">
        <v>373</v>
      </c>
      <c r="G108" s="126">
        <f t="shared" si="5"/>
        <v>0</v>
      </c>
      <c r="H108" s="126"/>
      <c r="I108" s="127"/>
      <c r="J108" s="126"/>
      <c r="K108" s="126"/>
    </row>
    <row r="109" spans="1:11" ht="13.5" thickBot="1">
      <c r="A109" s="547"/>
      <c r="B109" s="547"/>
      <c r="C109" s="30"/>
      <c r="D109" s="552" t="s">
        <v>374</v>
      </c>
      <c r="E109" s="553"/>
      <c r="F109" s="30" t="s">
        <v>375</v>
      </c>
      <c r="G109" s="126">
        <f t="shared" si="5"/>
        <v>0</v>
      </c>
      <c r="H109" s="126"/>
      <c r="I109" s="126"/>
      <c r="J109" s="126"/>
      <c r="K109" s="126"/>
    </row>
    <row r="110" spans="1:11" ht="32.25" customHeight="1" thickBot="1">
      <c r="A110" s="547"/>
      <c r="B110" s="547"/>
      <c r="C110" s="72" t="s">
        <v>267</v>
      </c>
      <c r="D110" s="649" t="s">
        <v>376</v>
      </c>
      <c r="E110" s="651"/>
      <c r="F110" s="70" t="s">
        <v>377</v>
      </c>
      <c r="G110" s="130">
        <f>G111+G112+G113</f>
        <v>0</v>
      </c>
      <c r="H110" s="130">
        <f>H111+H112+H113</f>
        <v>0</v>
      </c>
      <c r="I110" s="130">
        <f>I111+I112+I113</f>
        <v>0</v>
      </c>
      <c r="J110" s="130">
        <f>J111+J112+J113</f>
        <v>0</v>
      </c>
      <c r="K110" s="130">
        <f>K111+K112+K113</f>
        <v>0</v>
      </c>
    </row>
    <row r="111" spans="1:11" ht="13.5" thickBot="1">
      <c r="A111" s="547"/>
      <c r="B111" s="547"/>
      <c r="C111" s="30"/>
      <c r="D111" s="654" t="s">
        <v>378</v>
      </c>
      <c r="E111" s="655"/>
      <c r="F111" s="30" t="s">
        <v>379</v>
      </c>
      <c r="G111" s="126">
        <f>SUM(H111:K111)</f>
        <v>0</v>
      </c>
      <c r="H111" s="126">
        <v>0</v>
      </c>
      <c r="I111" s="126">
        <v>0</v>
      </c>
      <c r="J111" s="126">
        <v>0</v>
      </c>
      <c r="K111" s="126">
        <v>0</v>
      </c>
    </row>
    <row r="112" spans="1:11" ht="13.5" thickBot="1">
      <c r="A112" s="547"/>
      <c r="B112" s="547"/>
      <c r="C112" s="30"/>
      <c r="D112" s="654" t="s">
        <v>380</v>
      </c>
      <c r="E112" s="655"/>
      <c r="F112" s="30" t="s">
        <v>381</v>
      </c>
      <c r="G112" s="126">
        <f>SUM(H112:K112)</f>
        <v>0</v>
      </c>
      <c r="H112" s="126">
        <v>0</v>
      </c>
      <c r="I112" s="126">
        <v>0</v>
      </c>
      <c r="J112" s="126">
        <v>0</v>
      </c>
      <c r="K112" s="126">
        <v>0</v>
      </c>
    </row>
    <row r="113" spans="1:13" ht="45.75" customHeight="1" thickBot="1">
      <c r="A113" s="547"/>
      <c r="B113" s="547"/>
      <c r="C113" s="30"/>
      <c r="D113" s="654" t="s">
        <v>382</v>
      </c>
      <c r="E113" s="655"/>
      <c r="F113" s="30" t="s">
        <v>383</v>
      </c>
      <c r="G113" s="126">
        <f>SUM(H113:K113)</f>
        <v>0</v>
      </c>
      <c r="H113" s="126">
        <v>0</v>
      </c>
      <c r="I113" s="126">
        <v>0</v>
      </c>
      <c r="J113" s="126">
        <v>0</v>
      </c>
      <c r="K113" s="126">
        <v>0</v>
      </c>
    </row>
    <row r="114" spans="1:13" ht="47.25" customHeight="1" thickBot="1">
      <c r="A114" s="547"/>
      <c r="B114" s="547"/>
      <c r="C114" s="72" t="s">
        <v>188</v>
      </c>
      <c r="D114" s="656" t="s">
        <v>214</v>
      </c>
      <c r="E114" s="657"/>
      <c r="F114" s="72" t="s">
        <v>384</v>
      </c>
      <c r="G114" s="131">
        <f>G115+G116+G117+G118</f>
        <v>0</v>
      </c>
      <c r="H114" s="131">
        <f>H115+H116+H117+H118</f>
        <v>0</v>
      </c>
      <c r="I114" s="131">
        <f>I115+I116+I117+I118</f>
        <v>0</v>
      </c>
      <c r="J114" s="131">
        <f>J115+J116+J117+J118</f>
        <v>0</v>
      </c>
      <c r="K114" s="131">
        <f>K115+K116+K117+K118</f>
        <v>0</v>
      </c>
    </row>
    <row r="115" spans="1:13" ht="13.5" thickBot="1">
      <c r="A115" s="547"/>
      <c r="B115" s="547"/>
      <c r="C115" s="546"/>
      <c r="D115" s="463" t="s">
        <v>519</v>
      </c>
      <c r="E115" s="464"/>
      <c r="F115" s="30" t="s">
        <v>385</v>
      </c>
      <c r="G115" s="126">
        <f>SUM(H115:K115)</f>
        <v>0</v>
      </c>
      <c r="H115" s="126"/>
      <c r="I115" s="126"/>
      <c r="J115" s="126"/>
      <c r="K115" s="126"/>
    </row>
    <row r="116" spans="1:13" ht="13.5" thickBot="1">
      <c r="A116" s="547"/>
      <c r="B116" s="547"/>
      <c r="C116" s="547"/>
      <c r="D116" s="554" t="s">
        <v>386</v>
      </c>
      <c r="E116" s="555"/>
      <c r="F116" s="30" t="s">
        <v>387</v>
      </c>
      <c r="G116" s="126">
        <f>SUM(H116:K116)</f>
        <v>0</v>
      </c>
      <c r="H116" s="126"/>
      <c r="I116" s="126"/>
      <c r="J116" s="126"/>
      <c r="K116" s="126"/>
    </row>
    <row r="117" spans="1:13" ht="13.5" thickBot="1">
      <c r="A117" s="547"/>
      <c r="B117" s="547"/>
      <c r="C117" s="557"/>
      <c r="D117" s="463" t="s">
        <v>388</v>
      </c>
      <c r="E117" s="464"/>
      <c r="F117" s="30" t="s">
        <v>389</v>
      </c>
      <c r="G117" s="126">
        <f>SUM(H117:K117)</f>
        <v>0</v>
      </c>
      <c r="H117" s="126"/>
      <c r="I117" s="126"/>
      <c r="J117" s="126"/>
      <c r="K117" s="126"/>
    </row>
    <row r="118" spans="1:13" ht="13.5" thickBot="1">
      <c r="A118" s="547"/>
      <c r="B118" s="547"/>
      <c r="C118" s="30"/>
      <c r="D118" s="554" t="s">
        <v>390</v>
      </c>
      <c r="E118" s="555"/>
      <c r="F118" s="30" t="s">
        <v>391</v>
      </c>
      <c r="G118" s="126">
        <f>SUM(H118:K118)</f>
        <v>0</v>
      </c>
      <c r="H118" s="126">
        <v>0</v>
      </c>
      <c r="I118" s="126"/>
      <c r="J118" s="126"/>
      <c r="K118" s="126"/>
    </row>
    <row r="119" spans="1:13" ht="60.75" customHeight="1" thickBot="1">
      <c r="A119" s="547"/>
      <c r="B119" s="547"/>
      <c r="C119" s="72" t="s">
        <v>198</v>
      </c>
      <c r="D119" s="647" t="s">
        <v>392</v>
      </c>
      <c r="E119" s="648"/>
      <c r="F119" s="72" t="s">
        <v>393</v>
      </c>
      <c r="G119" s="131">
        <f>G120+G121+G122+G123+G124+G125</f>
        <v>0</v>
      </c>
      <c r="H119" s="131">
        <f>H120+H121+H122+H123+H124+H125</f>
        <v>0</v>
      </c>
      <c r="I119" s="131">
        <f>I120+I121+I122+I123+I124+I125</f>
        <v>0</v>
      </c>
      <c r="J119" s="131">
        <f>J120+J121+J122+J123+J124+J125</f>
        <v>0</v>
      </c>
      <c r="K119" s="131">
        <f>K120+K121+K122+K123+K124+K125</f>
        <v>0</v>
      </c>
    </row>
    <row r="120" spans="1:13" ht="13.5" thickBot="1">
      <c r="A120" s="547"/>
      <c r="B120" s="547"/>
      <c r="C120" s="658"/>
      <c r="D120" s="552" t="s">
        <v>394</v>
      </c>
      <c r="E120" s="553"/>
      <c r="F120" s="30" t="s">
        <v>395</v>
      </c>
      <c r="G120" s="127">
        <f t="shared" ref="G120:G125" si="6">SUM(H120:K120)</f>
        <v>0</v>
      </c>
      <c r="H120" s="126">
        <f>ROUND(H156*$L$120,0)</f>
        <v>0</v>
      </c>
      <c r="I120" s="126">
        <f>ROUND(I156*$L$120,0)</f>
        <v>0</v>
      </c>
      <c r="J120" s="126">
        <f>ROUND(J156*$L$120,0)</f>
        <v>0</v>
      </c>
      <c r="K120" s="126">
        <f>ROUND(K156*$L$120,0)</f>
        <v>0</v>
      </c>
      <c r="L120" s="146">
        <v>0.21160999999999999</v>
      </c>
      <c r="M120" s="76"/>
    </row>
    <row r="121" spans="1:13" ht="13.5" thickBot="1">
      <c r="A121" s="547"/>
      <c r="B121" s="547"/>
      <c r="C121" s="659"/>
      <c r="D121" s="552" t="s">
        <v>396</v>
      </c>
      <c r="E121" s="553"/>
      <c r="F121" s="30" t="s">
        <v>397</v>
      </c>
      <c r="G121" s="127">
        <f t="shared" si="6"/>
        <v>0</v>
      </c>
      <c r="H121" s="126">
        <f>ROUND(H156*$L$121,0)</f>
        <v>0</v>
      </c>
      <c r="I121" s="126">
        <f>ROUND(I156*$L$121,0)</f>
        <v>0</v>
      </c>
      <c r="J121" s="126">
        <f>ROUND(J156*$L$121,0)</f>
        <v>0</v>
      </c>
      <c r="K121" s="126">
        <f>ROUND(K156*$L$121,0)</f>
        <v>0</v>
      </c>
      <c r="L121" s="146">
        <v>5.0000000000000001E-3</v>
      </c>
    </row>
    <row r="122" spans="1:13" ht="13.5" thickBot="1">
      <c r="A122" s="547"/>
      <c r="B122" s="547"/>
      <c r="C122" s="659"/>
      <c r="D122" s="654" t="s">
        <v>398</v>
      </c>
      <c r="E122" s="655"/>
      <c r="F122" s="30" t="s">
        <v>399</v>
      </c>
      <c r="G122" s="127">
        <f t="shared" si="6"/>
        <v>0</v>
      </c>
      <c r="H122" s="126">
        <f>ROUND(H156*$L$122,0)</f>
        <v>0</v>
      </c>
      <c r="I122" s="126">
        <f>ROUND(I156*$L$122,0)</f>
        <v>0</v>
      </c>
      <c r="J122" s="126">
        <f>ROUND(J156*$L$122,0)</f>
        <v>0</v>
      </c>
      <c r="K122" s="126">
        <f>ROUND(K156*$L$122,0)</f>
        <v>0</v>
      </c>
      <c r="L122" s="146">
        <f>5.2%</f>
        <v>5.2000000000000005E-2</v>
      </c>
    </row>
    <row r="123" spans="1:13" ht="13.5" thickBot="1">
      <c r="A123" s="547"/>
      <c r="B123" s="547"/>
      <c r="C123" s="659"/>
      <c r="D123" s="654" t="s">
        <v>400</v>
      </c>
      <c r="E123" s="655"/>
      <c r="F123" s="30" t="s">
        <v>401</v>
      </c>
      <c r="G123" s="127">
        <f t="shared" si="6"/>
        <v>0</v>
      </c>
      <c r="H123" s="126">
        <f>ROUND(H156*$L$123,0)</f>
        <v>0</v>
      </c>
      <c r="I123" s="126">
        <f>ROUND(I156*$L$123,0)</f>
        <v>0</v>
      </c>
      <c r="J123" s="126">
        <f>ROUND(J156*$L$123,0)</f>
        <v>0</v>
      </c>
      <c r="K123" s="126">
        <f>ROUND(K156*$L$123,0)</f>
        <v>0</v>
      </c>
      <c r="L123" s="146">
        <f>(0.279+0.85+0.25)/100</f>
        <v>1.379E-2</v>
      </c>
      <c r="M123" s="76"/>
    </row>
    <row r="124" spans="1:13" ht="13.5" thickBot="1">
      <c r="A124" s="547"/>
      <c r="B124" s="547"/>
      <c r="C124" s="659"/>
      <c r="D124" s="552" t="s">
        <v>402</v>
      </c>
      <c r="E124" s="553"/>
      <c r="F124" s="30" t="s">
        <v>403</v>
      </c>
      <c r="G124" s="127">
        <f t="shared" si="6"/>
        <v>0</v>
      </c>
      <c r="H124" s="126"/>
      <c r="I124" s="126"/>
      <c r="J124" s="126"/>
      <c r="K124" s="126"/>
      <c r="L124" s="1">
        <v>0</v>
      </c>
    </row>
    <row r="125" spans="1:13" ht="13.5" thickBot="1">
      <c r="A125" s="547"/>
      <c r="B125" s="547"/>
      <c r="C125" s="660"/>
      <c r="D125" s="552" t="s">
        <v>404</v>
      </c>
      <c r="E125" s="553"/>
      <c r="F125" s="30" t="s">
        <v>405</v>
      </c>
      <c r="G125" s="126">
        <f t="shared" si="6"/>
        <v>0</v>
      </c>
      <c r="H125" s="126"/>
      <c r="I125" s="126"/>
      <c r="J125" s="126"/>
      <c r="K125" s="126"/>
    </row>
    <row r="126" spans="1:13" ht="49.5" customHeight="1" thickBot="1">
      <c r="A126" s="547"/>
      <c r="B126" s="547"/>
      <c r="C126" s="656" t="s">
        <v>406</v>
      </c>
      <c r="D126" s="661"/>
      <c r="E126" s="657"/>
      <c r="F126" s="72" t="s">
        <v>407</v>
      </c>
      <c r="G126" s="131">
        <f>G127+G130+G131+G132+G133+G134</f>
        <v>0</v>
      </c>
      <c r="H126" s="131">
        <f>H127+H130+H131+H132+H133+H134</f>
        <v>0</v>
      </c>
      <c r="I126" s="131">
        <f>I127+I130+I131+I132+I133+I134</f>
        <v>0</v>
      </c>
      <c r="J126" s="131">
        <f>J127+J130+J131+J132+J133+J134</f>
        <v>0</v>
      </c>
      <c r="K126" s="131">
        <f>K127+K130+K131+K132+K133+K134</f>
        <v>0</v>
      </c>
    </row>
    <row r="127" spans="1:13" ht="13.5" thickBot="1">
      <c r="A127" s="547"/>
      <c r="B127" s="547"/>
      <c r="C127" s="53" t="s">
        <v>93</v>
      </c>
      <c r="D127" s="654" t="s">
        <v>408</v>
      </c>
      <c r="E127" s="655"/>
      <c r="F127" s="30" t="s">
        <v>409</v>
      </c>
      <c r="G127" s="126">
        <f>SUM(G128:G129)</f>
        <v>0</v>
      </c>
      <c r="H127" s="126">
        <f>SUM(H128:H129)</f>
        <v>0</v>
      </c>
      <c r="I127" s="126">
        <f>SUM(I128:I129)</f>
        <v>0</v>
      </c>
      <c r="J127" s="126">
        <f>SUM(J128:J129)</f>
        <v>0</v>
      </c>
      <c r="K127" s="126">
        <f>SUM(K128:K129)</f>
        <v>0</v>
      </c>
    </row>
    <row r="128" spans="1:13" ht="13.5" thickBot="1">
      <c r="A128" s="547"/>
      <c r="B128" s="547"/>
      <c r="C128" s="53"/>
      <c r="D128" s="552" t="s">
        <v>410</v>
      </c>
      <c r="E128" s="553"/>
      <c r="F128" s="30" t="s">
        <v>411</v>
      </c>
      <c r="G128" s="126">
        <f t="shared" ref="G128:G133" si="7">SUM(H128:K128)</f>
        <v>0</v>
      </c>
      <c r="H128" s="126"/>
      <c r="I128" s="126"/>
      <c r="J128" s="126"/>
      <c r="K128" s="126"/>
    </row>
    <row r="129" spans="1:11" ht="13.5" thickBot="1">
      <c r="A129" s="547"/>
      <c r="B129" s="547"/>
      <c r="C129" s="53"/>
      <c r="D129" s="552" t="s">
        <v>412</v>
      </c>
      <c r="E129" s="553"/>
      <c r="F129" s="30" t="s">
        <v>413</v>
      </c>
      <c r="G129" s="126">
        <f t="shared" si="7"/>
        <v>0</v>
      </c>
      <c r="H129" s="126"/>
      <c r="I129" s="126"/>
      <c r="J129" s="126"/>
      <c r="K129" s="126"/>
    </row>
    <row r="130" spans="1:11" ht="13.5" thickBot="1">
      <c r="A130" s="547"/>
      <c r="B130" s="547"/>
      <c r="C130" s="53" t="s">
        <v>149</v>
      </c>
      <c r="D130" s="552" t="s">
        <v>414</v>
      </c>
      <c r="E130" s="553"/>
      <c r="F130" s="30" t="s">
        <v>415</v>
      </c>
      <c r="G130" s="126">
        <f t="shared" si="7"/>
        <v>0</v>
      </c>
      <c r="H130" s="126"/>
      <c r="I130" s="126"/>
      <c r="J130" s="126"/>
      <c r="K130" s="126"/>
    </row>
    <row r="131" spans="1:11" ht="13.5" thickBot="1">
      <c r="A131" s="546"/>
      <c r="B131" s="546"/>
      <c r="C131" s="53" t="s">
        <v>152</v>
      </c>
      <c r="D131" s="654" t="s">
        <v>527</v>
      </c>
      <c r="E131" s="655"/>
      <c r="F131" s="30" t="s">
        <v>528</v>
      </c>
      <c r="G131" s="126">
        <f t="shared" si="7"/>
        <v>0</v>
      </c>
      <c r="H131" s="126"/>
      <c r="I131" s="126"/>
      <c r="J131" s="126"/>
      <c r="K131" s="126"/>
    </row>
    <row r="132" spans="1:11" ht="13.5" thickBot="1">
      <c r="A132" s="547"/>
      <c r="B132" s="547"/>
      <c r="C132" s="53" t="s">
        <v>155</v>
      </c>
      <c r="D132" s="552" t="s">
        <v>296</v>
      </c>
      <c r="E132" s="553"/>
      <c r="F132" s="30" t="s">
        <v>529</v>
      </c>
      <c r="G132" s="126">
        <f t="shared" si="7"/>
        <v>0</v>
      </c>
      <c r="H132" s="126"/>
      <c r="I132" s="126"/>
      <c r="J132" s="126"/>
      <c r="K132" s="126"/>
    </row>
    <row r="133" spans="1:11" ht="13.5" thickBot="1">
      <c r="A133" s="547"/>
      <c r="B133" s="547"/>
      <c r="C133" s="53" t="s">
        <v>94</v>
      </c>
      <c r="D133" s="654" t="s">
        <v>530</v>
      </c>
      <c r="E133" s="655"/>
      <c r="F133" s="30" t="s">
        <v>531</v>
      </c>
      <c r="G133" s="126">
        <f t="shared" si="7"/>
        <v>0</v>
      </c>
      <c r="H133" s="126"/>
      <c r="I133" s="126"/>
      <c r="J133" s="126"/>
      <c r="K133" s="126"/>
    </row>
    <row r="134" spans="1:11" ht="36" customHeight="1" thickBot="1">
      <c r="A134" s="547"/>
      <c r="B134" s="557"/>
      <c r="C134" s="53" t="s">
        <v>105</v>
      </c>
      <c r="D134" s="654" t="s">
        <v>646</v>
      </c>
      <c r="E134" s="655"/>
      <c r="F134" s="30" t="s">
        <v>533</v>
      </c>
      <c r="G134" s="126">
        <f>G135-G136</f>
        <v>0</v>
      </c>
      <c r="H134" s="126">
        <f>H135-H136</f>
        <v>0</v>
      </c>
      <c r="I134" s="126">
        <f>I135-I136</f>
        <v>0</v>
      </c>
      <c r="J134" s="126">
        <f>J135-J136</f>
        <v>0</v>
      </c>
      <c r="K134" s="126">
        <f>K135-K136</f>
        <v>0</v>
      </c>
    </row>
    <row r="135" spans="1:11" ht="13.5" thickBot="1">
      <c r="A135" s="547"/>
      <c r="B135" s="30"/>
      <c r="C135" s="30"/>
      <c r="D135" s="30" t="s">
        <v>174</v>
      </c>
      <c r="E135" s="53" t="s">
        <v>534</v>
      </c>
      <c r="F135" s="30" t="s">
        <v>535</v>
      </c>
      <c r="G135" s="126">
        <f>SUM(H135:K135)</f>
        <v>0</v>
      </c>
      <c r="H135" s="126"/>
      <c r="I135" s="126"/>
      <c r="J135" s="126"/>
      <c r="K135" s="126"/>
    </row>
    <row r="136" spans="1:11" ht="34.5" customHeight="1" thickBot="1">
      <c r="A136" s="547"/>
      <c r="B136" s="30"/>
      <c r="C136" s="30"/>
      <c r="D136" s="147" t="s">
        <v>175</v>
      </c>
      <c r="E136" s="54" t="s">
        <v>647</v>
      </c>
      <c r="F136" s="30" t="s">
        <v>537</v>
      </c>
      <c r="G136" s="126">
        <f>G137</f>
        <v>0</v>
      </c>
      <c r="H136" s="126">
        <f>H137</f>
        <v>0</v>
      </c>
      <c r="I136" s="126">
        <f>I137</f>
        <v>0</v>
      </c>
      <c r="J136" s="126">
        <f>J137</f>
        <v>0</v>
      </c>
      <c r="K136" s="126">
        <f>K137</f>
        <v>0</v>
      </c>
    </row>
    <row r="137" spans="1:11" ht="26.25" thickBot="1">
      <c r="A137" s="547"/>
      <c r="B137" s="30"/>
      <c r="C137" s="30"/>
      <c r="D137" s="147" t="s">
        <v>190</v>
      </c>
      <c r="E137" s="54" t="s">
        <v>648</v>
      </c>
      <c r="F137" s="30" t="s">
        <v>539</v>
      </c>
      <c r="G137" s="126">
        <f>G138+G139+G140</f>
        <v>0</v>
      </c>
      <c r="H137" s="126">
        <f>H138+H139+H140</f>
        <v>0</v>
      </c>
      <c r="I137" s="126">
        <f>I138+I139+I140</f>
        <v>0</v>
      </c>
      <c r="J137" s="126">
        <f>J138+J139+J140</f>
        <v>0</v>
      </c>
      <c r="K137" s="126">
        <f>K138+K139+K140</f>
        <v>0</v>
      </c>
    </row>
    <row r="138" spans="1:11" ht="13.5" thickBot="1">
      <c r="A138" s="547"/>
      <c r="B138" s="30"/>
      <c r="C138" s="30"/>
      <c r="D138" s="30"/>
      <c r="E138" s="53" t="s">
        <v>649</v>
      </c>
      <c r="F138" s="30" t="s">
        <v>541</v>
      </c>
      <c r="G138" s="126">
        <f>SUM(H138:K138)</f>
        <v>0</v>
      </c>
      <c r="H138" s="126"/>
      <c r="I138" s="126"/>
      <c r="J138" s="126"/>
      <c r="K138" s="126"/>
    </row>
    <row r="139" spans="1:11" ht="13.5" thickBot="1">
      <c r="A139" s="547"/>
      <c r="B139" s="30"/>
      <c r="C139" s="30"/>
      <c r="D139" s="30"/>
      <c r="E139" s="54" t="s">
        <v>650</v>
      </c>
      <c r="F139" s="30">
        <v>129</v>
      </c>
      <c r="G139" s="126">
        <f>SUM(H139:K139)</f>
        <v>0</v>
      </c>
      <c r="H139" s="126"/>
      <c r="I139" s="126"/>
      <c r="J139" s="126"/>
      <c r="K139" s="126"/>
    </row>
    <row r="140" spans="1:11" ht="13.5" thickBot="1">
      <c r="A140" s="547"/>
      <c r="B140" s="30"/>
      <c r="C140" s="30"/>
      <c r="D140" s="30"/>
      <c r="E140" s="53" t="s">
        <v>651</v>
      </c>
      <c r="F140" s="30" t="s">
        <v>545</v>
      </c>
      <c r="G140" s="126">
        <f>SUM(H140:K140)</f>
        <v>0</v>
      </c>
      <c r="H140" s="126"/>
      <c r="I140" s="126"/>
      <c r="J140" s="126"/>
      <c r="K140" s="126"/>
    </row>
    <row r="141" spans="1:11" ht="36" customHeight="1" thickBot="1">
      <c r="A141" s="547"/>
      <c r="B141" s="72" t="s">
        <v>71</v>
      </c>
      <c r="C141" s="72"/>
      <c r="D141" s="649" t="s">
        <v>652</v>
      </c>
      <c r="E141" s="651"/>
      <c r="F141" s="70" t="s">
        <v>547</v>
      </c>
      <c r="G141" s="130">
        <f>G142+G145+G148</f>
        <v>0</v>
      </c>
      <c r="H141" s="130">
        <f>H142+H145+H148</f>
        <v>0</v>
      </c>
      <c r="I141" s="130">
        <f>I142+I145+I148</f>
        <v>0</v>
      </c>
      <c r="J141" s="130">
        <f>J142+J145+J148</f>
        <v>0</v>
      </c>
      <c r="K141" s="130">
        <f>K142+K145+K148</f>
        <v>0</v>
      </c>
    </row>
    <row r="142" spans="1:11" ht="13.5" thickBot="1">
      <c r="A142" s="547"/>
      <c r="B142" s="546"/>
      <c r="C142" s="30" t="s">
        <v>93</v>
      </c>
      <c r="D142" s="463" t="s">
        <v>548</v>
      </c>
      <c r="E142" s="464"/>
      <c r="F142" s="30" t="s">
        <v>549</v>
      </c>
      <c r="G142" s="126">
        <f>G143+G144</f>
        <v>0</v>
      </c>
      <c r="H142" s="126">
        <f>H143+H144</f>
        <v>0</v>
      </c>
      <c r="I142" s="126">
        <f>I143+I144</f>
        <v>0</v>
      </c>
      <c r="J142" s="126">
        <f>J143+J144</f>
        <v>0</v>
      </c>
      <c r="K142" s="126">
        <f>K143+K144</f>
        <v>0</v>
      </c>
    </row>
    <row r="143" spans="1:11" ht="13.5" thickBot="1">
      <c r="A143" s="547"/>
      <c r="B143" s="547"/>
      <c r="C143" s="30"/>
      <c r="D143" s="30" t="s">
        <v>454</v>
      </c>
      <c r="E143" s="53" t="s">
        <v>550</v>
      </c>
      <c r="F143" s="30" t="s">
        <v>551</v>
      </c>
      <c r="G143" s="126">
        <f>SUM(H143:K143)</f>
        <v>0</v>
      </c>
      <c r="H143" s="126"/>
      <c r="I143" s="126">
        <v>0</v>
      </c>
      <c r="J143" s="126"/>
      <c r="K143" s="126"/>
    </row>
    <row r="144" spans="1:11" ht="13.5" thickBot="1">
      <c r="A144" s="547"/>
      <c r="B144" s="547"/>
      <c r="C144" s="30"/>
      <c r="D144" s="30" t="s">
        <v>191</v>
      </c>
      <c r="E144" s="53" t="s">
        <v>653</v>
      </c>
      <c r="F144" s="30" t="s">
        <v>553</v>
      </c>
      <c r="G144" s="126">
        <f>SUM(H144:K144)</f>
        <v>0</v>
      </c>
      <c r="H144" s="126"/>
      <c r="I144" s="126"/>
      <c r="J144" s="126"/>
      <c r="K144" s="126"/>
    </row>
    <row r="145" spans="1:12" ht="35.25" customHeight="1" thickBot="1">
      <c r="A145" s="547"/>
      <c r="B145" s="547"/>
      <c r="C145" s="30" t="s">
        <v>149</v>
      </c>
      <c r="D145" s="554" t="s">
        <v>654</v>
      </c>
      <c r="E145" s="555"/>
      <c r="F145" s="30" t="s">
        <v>555</v>
      </c>
      <c r="G145" s="126">
        <f>G146+G147</f>
        <v>0</v>
      </c>
      <c r="H145" s="126">
        <f>H146+H147</f>
        <v>0</v>
      </c>
      <c r="I145" s="126">
        <f>I146+I147</f>
        <v>0</v>
      </c>
      <c r="J145" s="126">
        <f>J146+J147</f>
        <v>0</v>
      </c>
      <c r="K145" s="126">
        <f>K146+K147</f>
        <v>0</v>
      </c>
      <c r="L145" s="1">
        <v>700</v>
      </c>
    </row>
    <row r="146" spans="1:12" ht="13.5" thickBot="1">
      <c r="A146" s="547"/>
      <c r="B146" s="547"/>
      <c r="C146" s="30"/>
      <c r="D146" s="30" t="s">
        <v>215</v>
      </c>
      <c r="E146" s="53" t="s">
        <v>550</v>
      </c>
      <c r="F146" s="30" t="s">
        <v>556</v>
      </c>
      <c r="G146" s="126">
        <f>SUM(H146:K146)</f>
        <v>0</v>
      </c>
      <c r="H146" s="126"/>
      <c r="I146" s="126"/>
      <c r="J146" s="126"/>
      <c r="K146" s="126"/>
    </row>
    <row r="147" spans="1:12" ht="13.5" thickBot="1">
      <c r="A147" s="547"/>
      <c r="B147" s="547"/>
      <c r="C147" s="30"/>
      <c r="D147" s="30" t="s">
        <v>239</v>
      </c>
      <c r="E147" s="53" t="s">
        <v>552</v>
      </c>
      <c r="F147" s="30" t="s">
        <v>557</v>
      </c>
      <c r="G147" s="126">
        <f>SUM(H147:K147)</f>
        <v>0</v>
      </c>
      <c r="H147" s="126"/>
      <c r="I147" s="126"/>
      <c r="J147" s="126"/>
      <c r="K147" s="126"/>
    </row>
    <row r="148" spans="1:12" ht="13.5" thickBot="1">
      <c r="A148" s="547"/>
      <c r="B148" s="557"/>
      <c r="C148" s="30" t="s">
        <v>152</v>
      </c>
      <c r="D148" s="552" t="s">
        <v>558</v>
      </c>
      <c r="E148" s="553"/>
      <c r="F148" s="30" t="s">
        <v>559</v>
      </c>
      <c r="G148" s="126">
        <f>SUM(H148:K148)</f>
        <v>0</v>
      </c>
      <c r="H148" s="126"/>
      <c r="I148" s="126"/>
      <c r="J148" s="126"/>
      <c r="K148" s="126"/>
    </row>
    <row r="149" spans="1:12" ht="13.5" thickBot="1">
      <c r="A149" s="557"/>
      <c r="B149" s="30" t="s">
        <v>65</v>
      </c>
      <c r="C149" s="55"/>
      <c r="D149" s="662" t="s">
        <v>273</v>
      </c>
      <c r="E149" s="663"/>
      <c r="F149" s="55" t="s">
        <v>560</v>
      </c>
      <c r="G149" s="126">
        <f>SUM(H149:K149)</f>
        <v>0</v>
      </c>
      <c r="H149" s="125"/>
      <c r="I149" s="125"/>
      <c r="J149" s="125"/>
      <c r="K149" s="125"/>
    </row>
    <row r="150" spans="1:12" s="47" customFormat="1" ht="13.5" thickBot="1">
      <c r="A150" s="71" t="s">
        <v>274</v>
      </c>
      <c r="B150" s="71"/>
      <c r="C150" s="71"/>
      <c r="D150" s="644" t="s">
        <v>561</v>
      </c>
      <c r="E150" s="646"/>
      <c r="F150" s="71" t="s">
        <v>562</v>
      </c>
      <c r="G150" s="129">
        <f>G11-G40</f>
        <v>0</v>
      </c>
      <c r="H150" s="129">
        <f>H11-H40</f>
        <v>0</v>
      </c>
      <c r="I150" s="129">
        <f>I11-I40</f>
        <v>0</v>
      </c>
      <c r="J150" s="129">
        <f>J11-J40</f>
        <v>0</v>
      </c>
      <c r="K150" s="129">
        <f>K11-K40</f>
        <v>0</v>
      </c>
    </row>
    <row r="151" spans="1:12" ht="13.5" thickBot="1">
      <c r="A151" s="30"/>
      <c r="B151" s="30"/>
      <c r="C151" s="30"/>
      <c r="D151" s="463" t="s">
        <v>655</v>
      </c>
      <c r="E151" s="464"/>
      <c r="F151" s="30" t="s">
        <v>564</v>
      </c>
      <c r="G151" s="126">
        <f>SUM(H151:K151)</f>
        <v>0</v>
      </c>
      <c r="H151" s="126"/>
      <c r="I151" s="126"/>
      <c r="J151" s="126"/>
      <c r="K151" s="126"/>
    </row>
    <row r="152" spans="1:12" s="47" customFormat="1" ht="13.5" thickBot="1">
      <c r="A152" s="71" t="s">
        <v>276</v>
      </c>
      <c r="B152" s="71"/>
      <c r="C152" s="71"/>
      <c r="D152" s="644" t="s">
        <v>277</v>
      </c>
      <c r="E152" s="646"/>
      <c r="F152" s="71" t="s">
        <v>565</v>
      </c>
      <c r="G152" s="129">
        <f>(G150+G151)*16%</f>
        <v>0</v>
      </c>
      <c r="H152" s="129">
        <f>(H150+H151)*16%</f>
        <v>0</v>
      </c>
      <c r="I152" s="129">
        <f>(I150+I151)*16%</f>
        <v>0</v>
      </c>
      <c r="J152" s="129">
        <f>(J150+J151)*16%</f>
        <v>0</v>
      </c>
      <c r="K152" s="129">
        <f>(K150+K151)*16%</f>
        <v>0</v>
      </c>
    </row>
    <row r="154" spans="1:12">
      <c r="E154" s="85" t="s">
        <v>771</v>
      </c>
      <c r="H154" s="1" t="s">
        <v>770</v>
      </c>
    </row>
    <row r="155" spans="1:12">
      <c r="E155" s="85" t="s">
        <v>772</v>
      </c>
      <c r="H155" s="1" t="s">
        <v>773</v>
      </c>
    </row>
    <row r="156" spans="1:12" ht="13.5" hidden="1" thickBot="1">
      <c r="C156" s="75"/>
      <c r="D156" s="100"/>
      <c r="E156" s="101" t="s">
        <v>430</v>
      </c>
      <c r="F156" s="72"/>
      <c r="G156" s="72">
        <f>SUM(H156:K156)</f>
        <v>0</v>
      </c>
      <c r="H156" s="72">
        <f>H114+H98</f>
        <v>0</v>
      </c>
      <c r="I156" s="72">
        <f>I114+I98</f>
        <v>0</v>
      </c>
      <c r="J156" s="72">
        <f>J114+J98</f>
        <v>0</v>
      </c>
      <c r="K156" s="72">
        <f>K114+K98</f>
        <v>0</v>
      </c>
    </row>
    <row r="158" spans="1:12">
      <c r="E158" s="1"/>
      <c r="I158" s="48"/>
      <c r="L158" s="86"/>
    </row>
    <row r="159" spans="1:12">
      <c r="E159" s="1"/>
      <c r="I159" s="48"/>
      <c r="L159" s="86"/>
    </row>
    <row r="160" spans="1:12">
      <c r="E160" s="1"/>
      <c r="I160" s="48"/>
      <c r="L160" s="86"/>
    </row>
    <row r="161" spans="5:12">
      <c r="E161" s="1"/>
      <c r="I161" s="48"/>
      <c r="L161" s="86"/>
    </row>
  </sheetData>
  <mergeCells count="114">
    <mergeCell ref="A131:A149"/>
    <mergeCell ref="B131:B134"/>
    <mergeCell ref="D131:E131"/>
    <mergeCell ref="D132:E132"/>
    <mergeCell ref="D133:E133"/>
    <mergeCell ref="D149:E149"/>
    <mergeCell ref="B142:B148"/>
    <mergeCell ref="A95:A130"/>
    <mergeCell ref="B95:B130"/>
    <mergeCell ref="D95:E95"/>
    <mergeCell ref="D96:E96"/>
    <mergeCell ref="D98:E98"/>
    <mergeCell ref="C99:C101"/>
    <mergeCell ref="D99:E99"/>
    <mergeCell ref="C97:E97"/>
    <mergeCell ref="D151:E151"/>
    <mergeCell ref="D93:E93"/>
    <mergeCell ref="D125:E125"/>
    <mergeCell ref="D117:E117"/>
    <mergeCell ref="D108:E108"/>
    <mergeCell ref="D124:E124"/>
    <mergeCell ref="D103:E103"/>
    <mergeCell ref="D127:E127"/>
    <mergeCell ref="D129:E129"/>
    <mergeCell ref="D130:E130"/>
    <mergeCell ref="D94:E94"/>
    <mergeCell ref="D128:E128"/>
    <mergeCell ref="D89:E89"/>
    <mergeCell ref="D91:E91"/>
    <mergeCell ref="D92:E92"/>
    <mergeCell ref="C126:E126"/>
    <mergeCell ref="D107:E107"/>
    <mergeCell ref="D112:E112"/>
    <mergeCell ref="D113:E113"/>
    <mergeCell ref="D119:E119"/>
    <mergeCell ref="C120:C125"/>
    <mergeCell ref="D120:E120"/>
    <mergeCell ref="D115:E115"/>
    <mergeCell ref="D118:E118"/>
    <mergeCell ref="D110:E110"/>
    <mergeCell ref="D111:E111"/>
    <mergeCell ref="C115:C117"/>
    <mergeCell ref="D121:E121"/>
    <mergeCell ref="D122:E122"/>
    <mergeCell ref="D123:E123"/>
    <mergeCell ref="D148:E148"/>
    <mergeCell ref="D150:E150"/>
    <mergeCell ref="D100:E100"/>
    <mergeCell ref="D106:E106"/>
    <mergeCell ref="D101:E101"/>
    <mergeCell ref="D102:E102"/>
    <mergeCell ref="D109:E109"/>
    <mergeCell ref="D116:E116"/>
    <mergeCell ref="D114:E114"/>
    <mergeCell ref="D50:E50"/>
    <mergeCell ref="D51:E51"/>
    <mergeCell ref="D45:E45"/>
    <mergeCell ref="D48:E48"/>
    <mergeCell ref="C90:E90"/>
    <mergeCell ref="D152:E152"/>
    <mergeCell ref="D134:E134"/>
    <mergeCell ref="D141:E141"/>
    <mergeCell ref="D142:E142"/>
    <mergeCell ref="D145:E145"/>
    <mergeCell ref="D60:E60"/>
    <mergeCell ref="D61:E61"/>
    <mergeCell ref="D80:E80"/>
    <mergeCell ref="D77:E77"/>
    <mergeCell ref="A41:A53"/>
    <mergeCell ref="C41:E41"/>
    <mergeCell ref="B42:B53"/>
    <mergeCell ref="C42:E42"/>
    <mergeCell ref="D43:E43"/>
    <mergeCell ref="D44:E44"/>
    <mergeCell ref="B13:B24"/>
    <mergeCell ref="D53:E53"/>
    <mergeCell ref="D74:E74"/>
    <mergeCell ref="D75:E75"/>
    <mergeCell ref="A54:A94"/>
    <mergeCell ref="B54:B94"/>
    <mergeCell ref="D56:E56"/>
    <mergeCell ref="D57:E57"/>
    <mergeCell ref="D58:E58"/>
    <mergeCell ref="D59:E59"/>
    <mergeCell ref="D76:E76"/>
    <mergeCell ref="D73:E73"/>
    <mergeCell ref="D25:E25"/>
    <mergeCell ref="D52:E52"/>
    <mergeCell ref="D49:E49"/>
    <mergeCell ref="D37:E37"/>
    <mergeCell ref="D38:E38"/>
    <mergeCell ref="B40:E40"/>
    <mergeCell ref="D39:E39"/>
    <mergeCell ref="D33:E33"/>
    <mergeCell ref="D79:E79"/>
    <mergeCell ref="D78:E78"/>
    <mergeCell ref="D68:E68"/>
    <mergeCell ref="A2:D2"/>
    <mergeCell ref="A3:D3"/>
    <mergeCell ref="A4:D4"/>
    <mergeCell ref="D35:E35"/>
    <mergeCell ref="C12:E12"/>
    <mergeCell ref="D13:E13"/>
    <mergeCell ref="C20:C21"/>
    <mergeCell ref="A9:B9"/>
    <mergeCell ref="B34:B38"/>
    <mergeCell ref="B11:E11"/>
    <mergeCell ref="A12:A39"/>
    <mergeCell ref="D36:E36"/>
    <mergeCell ref="D18:E18"/>
    <mergeCell ref="D19:E19"/>
    <mergeCell ref="D34:E34"/>
    <mergeCell ref="D23:E23"/>
    <mergeCell ref="D24:E24"/>
  </mergeCells>
  <phoneticPr fontId="21" type="noConversion"/>
  <pageMargins left="0.7" right="0.7" top="0.75" bottom="0.75" header="0.3" footer="0.3"/>
  <pageSetup paperSize="9" orientation="landscape" verticalDpi="4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O210"/>
  <sheetViews>
    <sheetView workbookViewId="0">
      <selection activeCell="I39" sqref="I39"/>
    </sheetView>
  </sheetViews>
  <sheetFormatPr defaultRowHeight="12.75"/>
  <cols>
    <col min="1" max="3" width="4.7109375" style="1" customWidth="1"/>
    <col min="4" max="4" width="9.140625" style="1"/>
    <col min="5" max="5" width="46.7109375" style="1" customWidth="1"/>
    <col min="6" max="6" width="5.5703125" style="1" customWidth="1"/>
    <col min="7" max="7" width="12.85546875" style="1" customWidth="1"/>
    <col min="8" max="8" width="11.7109375" style="1" customWidth="1"/>
    <col min="9" max="9" width="12.28515625" style="1" customWidth="1"/>
    <col min="10" max="10" width="9.28515625" style="1" bestFit="1" customWidth="1"/>
    <col min="11" max="11" width="14.42578125" style="1" customWidth="1"/>
    <col min="12" max="12" width="8" style="1" customWidth="1"/>
    <col min="13" max="16384" width="9.140625" style="1"/>
  </cols>
  <sheetData>
    <row r="2" spans="1:11">
      <c r="A2" s="452" t="s">
        <v>733</v>
      </c>
      <c r="B2" s="452"/>
      <c r="C2" s="452"/>
      <c r="D2" s="452"/>
    </row>
    <row r="3" spans="1:11">
      <c r="A3" s="452" t="s">
        <v>734</v>
      </c>
      <c r="B3" s="452"/>
      <c r="C3" s="452"/>
      <c r="D3" s="452"/>
      <c r="I3" s="2" t="s">
        <v>51</v>
      </c>
    </row>
    <row r="4" spans="1:11">
      <c r="A4" s="452" t="s">
        <v>735</v>
      </c>
      <c r="B4" s="452"/>
      <c r="C4" s="452"/>
      <c r="D4" s="452"/>
    </row>
    <row r="5" spans="1:11">
      <c r="A5" s="85"/>
      <c r="B5" s="85"/>
      <c r="C5" s="85"/>
      <c r="D5" s="453" t="s">
        <v>1</v>
      </c>
      <c r="E5" s="453"/>
      <c r="F5" s="453"/>
      <c r="G5" s="453"/>
      <c r="H5" s="453"/>
      <c r="I5" s="453"/>
      <c r="J5" s="453"/>
    </row>
    <row r="6" spans="1:11">
      <c r="A6" s="85"/>
      <c r="B6" s="85"/>
      <c r="C6" s="85"/>
      <c r="D6" s="453" t="s">
        <v>2</v>
      </c>
      <c r="E6" s="453"/>
      <c r="F6" s="453"/>
      <c r="G6" s="453"/>
      <c r="H6" s="453"/>
      <c r="I6" s="453"/>
    </row>
    <row r="7" spans="1:11">
      <c r="A7" s="85"/>
      <c r="B7" s="85"/>
      <c r="C7" s="85"/>
      <c r="D7" s="86"/>
      <c r="E7" s="86"/>
      <c r="F7" s="86"/>
      <c r="G7" s="86"/>
      <c r="H7" s="86"/>
      <c r="I7" s="86"/>
    </row>
    <row r="8" spans="1:11" ht="13.5" thickBot="1"/>
    <row r="9" spans="1:11" ht="39" thickBot="1">
      <c r="A9" s="686"/>
      <c r="B9" s="687"/>
      <c r="C9" s="22"/>
      <c r="D9" s="528" t="s">
        <v>6</v>
      </c>
      <c r="E9" s="530"/>
      <c r="F9" s="95" t="s">
        <v>7</v>
      </c>
      <c r="G9" s="691" t="s">
        <v>180</v>
      </c>
      <c r="H9" s="685"/>
      <c r="I9" s="25" t="s">
        <v>179</v>
      </c>
      <c r="J9" s="3" t="s">
        <v>253</v>
      </c>
    </row>
    <row r="10" spans="1:11" ht="26.25" thickBot="1">
      <c r="A10" s="682"/>
      <c r="B10" s="683"/>
      <c r="C10" s="23"/>
      <c r="D10" s="531"/>
      <c r="E10" s="688"/>
      <c r="F10" s="99" t="s">
        <v>8</v>
      </c>
      <c r="G10" s="3" t="s">
        <v>9</v>
      </c>
      <c r="H10" s="19" t="s">
        <v>10</v>
      </c>
      <c r="I10" s="3" t="s">
        <v>11</v>
      </c>
      <c r="J10" s="3" t="s">
        <v>12</v>
      </c>
    </row>
    <row r="11" spans="1:11" ht="13.5" thickBot="1">
      <c r="A11" s="9" t="s">
        <v>96</v>
      </c>
      <c r="B11" s="450" t="s">
        <v>13</v>
      </c>
      <c r="C11" s="451"/>
      <c r="D11" s="450" t="s">
        <v>71</v>
      </c>
      <c r="E11" s="451"/>
      <c r="F11" s="9" t="s">
        <v>65</v>
      </c>
      <c r="G11" s="3" t="s">
        <v>66</v>
      </c>
      <c r="H11" s="3" t="s">
        <v>80</v>
      </c>
      <c r="I11" s="3" t="s">
        <v>67</v>
      </c>
      <c r="J11" s="3" t="s">
        <v>14</v>
      </c>
    </row>
    <row r="12" spans="1:11" ht="13.5" thickBot="1">
      <c r="A12" s="9" t="s">
        <v>254</v>
      </c>
      <c r="B12" s="16"/>
      <c r="C12" s="17"/>
      <c r="D12" s="689" t="s">
        <v>437</v>
      </c>
      <c r="E12" s="690"/>
      <c r="F12" s="16" t="s">
        <v>3</v>
      </c>
      <c r="G12" s="125">
        <f>G13+G34+G40</f>
        <v>213429019</v>
      </c>
      <c r="H12" s="125">
        <f>H13+H34+H40</f>
        <v>195302860</v>
      </c>
      <c r="I12" s="125">
        <f ca="1">'anexa 4 intermediar'!G11</f>
        <v>0</v>
      </c>
      <c r="J12" s="80">
        <f>I12/H12</f>
        <v>0</v>
      </c>
      <c r="K12" s="83"/>
    </row>
    <row r="13" spans="1:11" ht="13.5" customHeight="1" thickBot="1">
      <c r="A13" s="95"/>
      <c r="B13" s="9" t="s">
        <v>13</v>
      </c>
      <c r="C13" s="4"/>
      <c r="D13" s="666" t="s">
        <v>15</v>
      </c>
      <c r="E13" s="667"/>
      <c r="F13" s="9" t="s">
        <v>71</v>
      </c>
      <c r="G13" s="126">
        <f>G14+G19+G20+G24+G25+G26</f>
        <v>213204019</v>
      </c>
      <c r="H13" s="126">
        <f>H14+H19+H20+H24+H25+H26</f>
        <v>194582856</v>
      </c>
      <c r="I13" s="126">
        <f ca="1">'anexa 4 intermediar'!G12</f>
        <v>0</v>
      </c>
      <c r="J13" s="82">
        <f>I13/H13</f>
        <v>0</v>
      </c>
      <c r="K13" s="83"/>
    </row>
    <row r="14" spans="1:11" ht="13.5" customHeight="1" thickBot="1">
      <c r="A14" s="96"/>
      <c r="B14" s="95"/>
      <c r="C14" s="4" t="s">
        <v>93</v>
      </c>
      <c r="D14" s="666" t="s">
        <v>16</v>
      </c>
      <c r="E14" s="667"/>
      <c r="F14" s="9" t="s">
        <v>65</v>
      </c>
      <c r="G14" s="126">
        <f>G15+G16+G17+G18</f>
        <v>167614652</v>
      </c>
      <c r="H14" s="126">
        <f>H15+H16+H17+H18</f>
        <v>156271125</v>
      </c>
      <c r="I14" s="126">
        <f ca="1">'anexa 4 intermediar'!G13</f>
        <v>0</v>
      </c>
      <c r="J14" s="82">
        <f t="shared" ref="J14:J77" si="0">I14/H14</f>
        <v>0</v>
      </c>
      <c r="K14" s="238"/>
    </row>
    <row r="15" spans="1:11" ht="13.5" thickBot="1">
      <c r="A15" s="96"/>
      <c r="B15" s="96"/>
      <c r="C15" s="4"/>
      <c r="D15" s="4" t="s">
        <v>17</v>
      </c>
      <c r="E15" s="20" t="s">
        <v>18</v>
      </c>
      <c r="F15" s="9" t="s">
        <v>19</v>
      </c>
      <c r="G15" s="126">
        <v>163363652</v>
      </c>
      <c r="H15" s="126">
        <v>155397987</v>
      </c>
      <c r="I15" s="126">
        <f ca="1">'anexa 4 intermediar'!G14</f>
        <v>0</v>
      </c>
      <c r="J15" s="82"/>
      <c r="K15" s="238">
        <v>704</v>
      </c>
    </row>
    <row r="16" spans="1:11" ht="13.5" thickBot="1">
      <c r="A16" s="96"/>
      <c r="B16" s="96"/>
      <c r="C16" s="4"/>
      <c r="D16" s="4" t="s">
        <v>20</v>
      </c>
      <c r="E16" s="20" t="s">
        <v>21</v>
      </c>
      <c r="F16" s="9" t="s">
        <v>80</v>
      </c>
      <c r="G16" s="126">
        <v>900000</v>
      </c>
      <c r="H16" s="126">
        <v>741035</v>
      </c>
      <c r="I16" s="126">
        <f ca="1">'anexa 4 intermediar'!G15</f>
        <v>0</v>
      </c>
      <c r="J16" s="82">
        <f t="shared" si="0"/>
        <v>0</v>
      </c>
      <c r="K16" s="238">
        <v>708</v>
      </c>
    </row>
    <row r="17" spans="1:11" ht="13.5" thickBot="1">
      <c r="A17" s="96"/>
      <c r="B17" s="96"/>
      <c r="C17" s="4"/>
      <c r="D17" s="4" t="s">
        <v>22</v>
      </c>
      <c r="E17" s="20" t="s">
        <v>23</v>
      </c>
      <c r="F17" s="9" t="s">
        <v>67</v>
      </c>
      <c r="G17" s="126">
        <v>1000</v>
      </c>
      <c r="H17" s="126">
        <v>59684</v>
      </c>
      <c r="I17" s="126">
        <f ca="1">'anexa 4 intermediar'!G16</f>
        <v>0</v>
      </c>
      <c r="J17" s="82">
        <f t="shared" si="0"/>
        <v>0</v>
      </c>
      <c r="K17" s="238">
        <v>706</v>
      </c>
    </row>
    <row r="18" spans="1:11" ht="13.5" thickBot="1">
      <c r="A18" s="96"/>
      <c r="B18" s="96"/>
      <c r="C18" s="4"/>
      <c r="D18" s="4" t="s">
        <v>24</v>
      </c>
      <c r="E18" s="20" t="s">
        <v>25</v>
      </c>
      <c r="F18" s="9" t="s">
        <v>14</v>
      </c>
      <c r="G18" s="126">
        <v>3350000</v>
      </c>
      <c r="H18" s="126">
        <v>72419</v>
      </c>
      <c r="I18" s="126">
        <f ca="1">'anexa 4 intermediar'!G17</f>
        <v>0</v>
      </c>
      <c r="J18" s="82">
        <f t="shared" si="0"/>
        <v>0</v>
      </c>
      <c r="K18" s="238">
        <v>703</v>
      </c>
    </row>
    <row r="19" spans="1:11" ht="13.5" customHeight="1" thickBot="1">
      <c r="A19" s="96"/>
      <c r="B19" s="96"/>
      <c r="C19" s="4" t="s">
        <v>26</v>
      </c>
      <c r="D19" s="677" t="s">
        <v>27</v>
      </c>
      <c r="E19" s="678"/>
      <c r="F19" s="9" t="s">
        <v>68</v>
      </c>
      <c r="G19" s="126">
        <v>0</v>
      </c>
      <c r="H19" s="126">
        <v>0</v>
      </c>
      <c r="I19" s="126">
        <f ca="1">'anexa 4 intermediar'!G18</f>
        <v>0</v>
      </c>
      <c r="J19" s="82"/>
      <c r="K19" s="238">
        <v>707</v>
      </c>
    </row>
    <row r="20" spans="1:11" ht="30.75" customHeight="1" thickBot="1">
      <c r="A20" s="96"/>
      <c r="B20" s="96"/>
      <c r="C20" s="4" t="s">
        <v>28</v>
      </c>
      <c r="D20" s="666" t="s">
        <v>481</v>
      </c>
      <c r="E20" s="667"/>
      <c r="F20" s="9" t="s">
        <v>92</v>
      </c>
      <c r="G20" s="126">
        <f>G21</f>
        <v>37339367</v>
      </c>
      <c r="H20" s="126">
        <v>33766205</v>
      </c>
      <c r="I20" s="126">
        <f ca="1">'anexa 4 intermediar'!G19</f>
        <v>0</v>
      </c>
      <c r="J20" s="82"/>
      <c r="K20" s="238">
        <v>741</v>
      </c>
    </row>
    <row r="21" spans="1:11" ht="13.5" thickBot="1">
      <c r="A21" s="96"/>
      <c r="B21" s="96"/>
      <c r="C21" s="97"/>
      <c r="D21" s="4" t="s">
        <v>29</v>
      </c>
      <c r="E21" s="10" t="s">
        <v>97</v>
      </c>
      <c r="F21" s="9" t="s">
        <v>98</v>
      </c>
      <c r="G21" s="126">
        <v>37339367</v>
      </c>
      <c r="H21" s="126">
        <v>33766205</v>
      </c>
      <c r="I21" s="126">
        <f ca="1">'anexa 4 intermediar'!G20</f>
        <v>0</v>
      </c>
      <c r="J21" s="82"/>
      <c r="K21" s="238"/>
    </row>
    <row r="22" spans="1:11" ht="13.5" thickBot="1">
      <c r="A22" s="96"/>
      <c r="B22" s="96"/>
      <c r="C22" s="98"/>
      <c r="D22" s="4" t="s">
        <v>30</v>
      </c>
      <c r="E22" s="10" t="s">
        <v>99</v>
      </c>
      <c r="F22" s="9" t="s">
        <v>100</v>
      </c>
      <c r="G22" s="126">
        <v>0</v>
      </c>
      <c r="H22" s="126">
        <v>0</v>
      </c>
      <c r="I22" s="126">
        <f ca="1">'anexa 4 intermediar'!G21</f>
        <v>0</v>
      </c>
      <c r="J22" s="82"/>
      <c r="K22" s="238"/>
    </row>
    <row r="23" spans="1:11" ht="13.5" thickBot="1">
      <c r="A23" s="96"/>
      <c r="B23" s="96"/>
      <c r="C23" s="4"/>
      <c r="D23" s="4" t="s">
        <v>31</v>
      </c>
      <c r="E23" s="4" t="s">
        <v>101</v>
      </c>
      <c r="F23" s="9" t="s">
        <v>102</v>
      </c>
      <c r="G23" s="126">
        <v>0</v>
      </c>
      <c r="H23" s="126">
        <v>0</v>
      </c>
      <c r="I23" s="126">
        <f ca="1">'anexa 4 intermediar'!G22</f>
        <v>0</v>
      </c>
      <c r="J23" s="82"/>
      <c r="K23" s="238"/>
    </row>
    <row r="24" spans="1:11" ht="13.5" customHeight="1" thickBot="1">
      <c r="A24" s="96"/>
      <c r="B24" s="96"/>
      <c r="C24" s="4" t="s">
        <v>155</v>
      </c>
      <c r="D24" s="677" t="s">
        <v>32</v>
      </c>
      <c r="E24" s="678"/>
      <c r="F24" s="9" t="s">
        <v>103</v>
      </c>
      <c r="G24" s="126">
        <v>4500000</v>
      </c>
      <c r="H24" s="126">
        <v>692414</v>
      </c>
      <c r="I24" s="126">
        <f ca="1">'anexa 4 intermediar'!G23</f>
        <v>0</v>
      </c>
      <c r="J24" s="82">
        <f t="shared" si="0"/>
        <v>0</v>
      </c>
      <c r="K24" s="238">
        <v>722</v>
      </c>
    </row>
    <row r="25" spans="1:11" ht="13.5" customHeight="1" thickBot="1">
      <c r="A25" s="96"/>
      <c r="B25" s="99"/>
      <c r="C25" s="4" t="s">
        <v>94</v>
      </c>
      <c r="D25" s="666" t="s">
        <v>33</v>
      </c>
      <c r="E25" s="667"/>
      <c r="F25" s="9" t="s">
        <v>104</v>
      </c>
      <c r="G25" s="126">
        <v>300000</v>
      </c>
      <c r="H25" s="126">
        <v>304695</v>
      </c>
      <c r="I25" s="126">
        <f ca="1">'anexa 4 intermediar'!G24</f>
        <v>0</v>
      </c>
      <c r="J25" s="82"/>
      <c r="K25" s="238">
        <v>711</v>
      </c>
    </row>
    <row r="26" spans="1:11" ht="13.5" customHeight="1" thickBot="1">
      <c r="A26" s="96"/>
      <c r="B26" s="9"/>
      <c r="C26" s="4" t="s">
        <v>105</v>
      </c>
      <c r="D26" s="666" t="s">
        <v>34</v>
      </c>
      <c r="E26" s="667"/>
      <c r="F26" s="9" t="s">
        <v>106</v>
      </c>
      <c r="G26" s="126">
        <f>G27+G28+G31+G32+G33</f>
        <v>3450000</v>
      </c>
      <c r="H26" s="126">
        <f>H27+H28+H31+H32+H33</f>
        <v>3548417</v>
      </c>
      <c r="I26" s="126">
        <f ca="1">'anexa 4 intermediar'!G25</f>
        <v>0</v>
      </c>
      <c r="J26" s="82">
        <f t="shared" si="0"/>
        <v>0</v>
      </c>
      <c r="K26" s="238"/>
    </row>
    <row r="27" spans="1:11" ht="13.5" thickBot="1">
      <c r="A27" s="96"/>
      <c r="B27" s="9"/>
      <c r="C27" s="4"/>
      <c r="D27" s="17" t="s">
        <v>174</v>
      </c>
      <c r="E27" s="4" t="s">
        <v>35</v>
      </c>
      <c r="F27" s="9" t="s">
        <v>107</v>
      </c>
      <c r="G27" s="126">
        <v>2000000</v>
      </c>
      <c r="H27" s="126">
        <v>1484923</v>
      </c>
      <c r="I27" s="126">
        <f ca="1">'anexa 4 intermediar'!G26</f>
        <v>0</v>
      </c>
      <c r="J27" s="82">
        <f t="shared" si="0"/>
        <v>0</v>
      </c>
      <c r="K27" s="238">
        <v>7581</v>
      </c>
    </row>
    <row r="28" spans="1:11" ht="26.25" thickBot="1">
      <c r="A28" s="96"/>
      <c r="B28" s="9"/>
      <c r="C28" s="4"/>
      <c r="D28" s="17" t="s">
        <v>175</v>
      </c>
      <c r="E28" s="10" t="s">
        <v>36</v>
      </c>
      <c r="F28" s="9" t="s">
        <v>108</v>
      </c>
      <c r="G28" s="126">
        <f>G29+G30</f>
        <v>200000</v>
      </c>
      <c r="H28" s="126">
        <v>11000</v>
      </c>
      <c r="I28" s="126">
        <f ca="1">'anexa 4 intermediar'!G27</f>
        <v>0</v>
      </c>
      <c r="J28" s="82"/>
      <c r="K28" s="238"/>
    </row>
    <row r="29" spans="1:11" ht="13.5" thickBot="1">
      <c r="A29" s="96"/>
      <c r="B29" s="9"/>
      <c r="C29" s="4"/>
      <c r="D29" s="4"/>
      <c r="E29" s="4" t="s">
        <v>37</v>
      </c>
      <c r="F29" s="9" t="s">
        <v>109</v>
      </c>
      <c r="G29" s="126">
        <f>500000-300000</f>
        <v>200000</v>
      </c>
      <c r="H29" s="126">
        <v>11000</v>
      </c>
      <c r="I29" s="126">
        <f ca="1">'anexa 4 intermediar'!G28</f>
        <v>0</v>
      </c>
      <c r="J29" s="82"/>
      <c r="K29" s="238" t="s">
        <v>760</v>
      </c>
    </row>
    <row r="30" spans="1:11" ht="13.5" thickBot="1">
      <c r="A30" s="96"/>
      <c r="B30" s="9"/>
      <c r="C30" s="4"/>
      <c r="D30" s="4"/>
      <c r="E30" s="4" t="s">
        <v>38</v>
      </c>
      <c r="F30" s="9" t="s">
        <v>110</v>
      </c>
      <c r="G30" s="126"/>
      <c r="H30" s="126">
        <v>0</v>
      </c>
      <c r="I30" s="126">
        <f ca="1">'anexa 4 intermediar'!G29</f>
        <v>0</v>
      </c>
      <c r="J30" s="82"/>
      <c r="K30" s="238"/>
    </row>
    <row r="31" spans="1:11" ht="13.5" thickBot="1">
      <c r="A31" s="96"/>
      <c r="B31" s="9"/>
      <c r="C31" s="4"/>
      <c r="D31" s="17" t="s">
        <v>176</v>
      </c>
      <c r="E31" s="4" t="s">
        <v>39</v>
      </c>
      <c r="F31" s="9" t="s">
        <v>111</v>
      </c>
      <c r="G31" s="126">
        <v>250000</v>
      </c>
      <c r="H31" s="126">
        <v>271140</v>
      </c>
      <c r="I31" s="126">
        <f ca="1">'anexa 4 intermediar'!G30</f>
        <v>0</v>
      </c>
      <c r="J31" s="82">
        <f t="shared" si="0"/>
        <v>0</v>
      </c>
      <c r="K31" s="238">
        <v>7584</v>
      </c>
    </row>
    <row r="32" spans="1:11" ht="15.75" thickBot="1">
      <c r="A32" s="96"/>
      <c r="B32" s="9"/>
      <c r="C32" s="4"/>
      <c r="D32" s="138" t="s">
        <v>177</v>
      </c>
      <c r="E32" s="4" t="s">
        <v>40</v>
      </c>
      <c r="F32" s="9" t="s">
        <v>112</v>
      </c>
      <c r="G32" s="126">
        <v>1000000</v>
      </c>
      <c r="H32" s="126">
        <v>1766681</v>
      </c>
      <c r="I32" s="126">
        <f ca="1">'anexa 4 intermediar'!G31</f>
        <v>0</v>
      </c>
      <c r="J32" s="82"/>
      <c r="K32" s="238" t="s">
        <v>778</v>
      </c>
    </row>
    <row r="33" spans="1:11" ht="13.5" customHeight="1" thickBot="1">
      <c r="A33" s="96"/>
      <c r="B33" s="9"/>
      <c r="C33" s="4"/>
      <c r="D33" s="17" t="s">
        <v>178</v>
      </c>
      <c r="E33" s="4" t="s">
        <v>25</v>
      </c>
      <c r="F33" s="9" t="s">
        <v>113</v>
      </c>
      <c r="G33" s="126"/>
      <c r="H33" s="126">
        <v>14673</v>
      </c>
      <c r="I33" s="126">
        <f ca="1">'anexa 4 intermediar'!G32</f>
        <v>0</v>
      </c>
      <c r="J33" s="82">
        <f t="shared" si="0"/>
        <v>0</v>
      </c>
      <c r="K33" s="238" t="s">
        <v>761</v>
      </c>
    </row>
    <row r="34" spans="1:11" ht="13.5" customHeight="1" thickBot="1">
      <c r="A34" s="96"/>
      <c r="B34" s="9" t="s">
        <v>5</v>
      </c>
      <c r="C34" s="4"/>
      <c r="D34" s="666" t="s">
        <v>41</v>
      </c>
      <c r="E34" s="667"/>
      <c r="F34" s="9" t="s">
        <v>114</v>
      </c>
      <c r="G34" s="126">
        <f>G35+G36+G37+G38+G39</f>
        <v>225000</v>
      </c>
      <c r="H34" s="126">
        <f>H35+H36+H37+H38+H39</f>
        <v>720004</v>
      </c>
      <c r="I34" s="126">
        <f ca="1">'anexa 4 intermediar'!G33</f>
        <v>0</v>
      </c>
      <c r="J34" s="82">
        <f t="shared" si="0"/>
        <v>0</v>
      </c>
      <c r="K34" s="83"/>
    </row>
    <row r="35" spans="1:11" ht="13.5" thickBot="1">
      <c r="A35" s="96"/>
      <c r="B35" s="95"/>
      <c r="C35" s="4" t="s">
        <v>93</v>
      </c>
      <c r="D35" s="677" t="s">
        <v>42</v>
      </c>
      <c r="E35" s="678"/>
      <c r="F35" s="9" t="s">
        <v>115</v>
      </c>
      <c r="G35" s="126"/>
      <c r="H35" s="126"/>
      <c r="I35" s="126">
        <f ca="1">'anexa 4 intermediar'!G34</f>
        <v>0</v>
      </c>
      <c r="J35" s="82"/>
      <c r="K35" s="83"/>
    </row>
    <row r="36" spans="1:11" ht="13.5" thickBot="1">
      <c r="A36" s="96"/>
      <c r="B36" s="96"/>
      <c r="C36" s="4" t="s">
        <v>26</v>
      </c>
      <c r="D36" s="677" t="s">
        <v>43</v>
      </c>
      <c r="E36" s="678"/>
      <c r="F36" s="9" t="s">
        <v>116</v>
      </c>
      <c r="G36" s="126"/>
      <c r="H36" s="126"/>
      <c r="I36" s="126">
        <f ca="1">'anexa 4 intermediar'!G35</f>
        <v>0</v>
      </c>
      <c r="J36" s="82"/>
      <c r="K36" s="238"/>
    </row>
    <row r="37" spans="1:11" ht="13.5" thickBot="1">
      <c r="A37" s="96"/>
      <c r="B37" s="96"/>
      <c r="C37" s="4" t="s">
        <v>28</v>
      </c>
      <c r="D37" s="677" t="s">
        <v>44</v>
      </c>
      <c r="E37" s="678"/>
      <c r="F37" s="124" t="s">
        <v>117</v>
      </c>
      <c r="G37" s="126">
        <v>0</v>
      </c>
      <c r="H37" s="126">
        <v>209</v>
      </c>
      <c r="I37" s="126">
        <f ca="1">'anexa 4 intermediar'!G36</f>
        <v>0</v>
      </c>
      <c r="J37" s="82">
        <f t="shared" si="0"/>
        <v>0</v>
      </c>
      <c r="K37" s="238">
        <v>765</v>
      </c>
    </row>
    <row r="38" spans="1:11" ht="13.5" thickBot="1">
      <c r="A38" s="96"/>
      <c r="B38" s="96"/>
      <c r="C38" s="4" t="s">
        <v>482</v>
      </c>
      <c r="D38" s="677" t="s">
        <v>45</v>
      </c>
      <c r="E38" s="678"/>
      <c r="F38" s="9" t="s">
        <v>118</v>
      </c>
      <c r="G38" s="126"/>
      <c r="H38" s="126">
        <v>14562</v>
      </c>
      <c r="I38" s="126">
        <f ca="1">'anexa 4 intermediar'!G37</f>
        <v>0</v>
      </c>
      <c r="J38" s="82">
        <f t="shared" si="0"/>
        <v>0</v>
      </c>
      <c r="K38" s="238">
        <v>766</v>
      </c>
    </row>
    <row r="39" spans="1:11" ht="13.5" thickBot="1">
      <c r="A39" s="96"/>
      <c r="B39" s="99"/>
      <c r="C39" s="4" t="s">
        <v>46</v>
      </c>
      <c r="D39" s="677" t="s">
        <v>47</v>
      </c>
      <c r="E39" s="678"/>
      <c r="F39" s="9" t="s">
        <v>119</v>
      </c>
      <c r="G39" s="126">
        <v>225000</v>
      </c>
      <c r="H39" s="126">
        <v>705233</v>
      </c>
      <c r="I39" s="126">
        <f ca="1">'anexa 4 intermediar'!G38</f>
        <v>0</v>
      </c>
      <c r="J39" s="82"/>
      <c r="K39" s="238">
        <v>767.76800000000003</v>
      </c>
    </row>
    <row r="40" spans="1:11" ht="13.5" thickBot="1">
      <c r="A40" s="99"/>
      <c r="B40" s="9" t="s">
        <v>48</v>
      </c>
      <c r="C40" s="4"/>
      <c r="D40" s="677" t="s">
        <v>49</v>
      </c>
      <c r="E40" s="678"/>
      <c r="F40" s="9" t="s">
        <v>120</v>
      </c>
      <c r="G40" s="126"/>
      <c r="H40" s="126"/>
      <c r="I40" s="126">
        <f ca="1">'anexa 4 intermediar'!G39</f>
        <v>0</v>
      </c>
      <c r="J40" s="82"/>
      <c r="K40" s="83"/>
    </row>
    <row r="41" spans="1:11" ht="13.5" customHeight="1" thickBot="1">
      <c r="A41" s="16" t="s">
        <v>77</v>
      </c>
      <c r="B41" s="692" t="s">
        <v>212</v>
      </c>
      <c r="C41" s="693"/>
      <c r="D41" s="693"/>
      <c r="E41" s="694"/>
      <c r="F41" s="16" t="s">
        <v>121</v>
      </c>
      <c r="G41" s="125">
        <f>G42+G142+G150</f>
        <v>213299989</v>
      </c>
      <c r="H41" s="125">
        <f>H42+H142+H150</f>
        <v>227112606</v>
      </c>
      <c r="I41" s="125">
        <f ca="1">'anexa 4 intermediar'!G40</f>
        <v>0</v>
      </c>
      <c r="J41" s="80">
        <f t="shared" si="0"/>
        <v>0</v>
      </c>
      <c r="K41" s="83"/>
    </row>
    <row r="42" spans="1:11" ht="13.5" customHeight="1" thickBot="1">
      <c r="A42" s="95"/>
      <c r="B42" s="16" t="s">
        <v>3</v>
      </c>
      <c r="C42" s="679" t="s">
        <v>483</v>
      </c>
      <c r="D42" s="680"/>
      <c r="E42" s="681"/>
      <c r="F42" s="16" t="s">
        <v>484</v>
      </c>
      <c r="G42" s="125">
        <f>G43+G91+G98+G127</f>
        <v>204299989</v>
      </c>
      <c r="H42" s="125">
        <f>H43+H91+H98+H127</f>
        <v>220193588</v>
      </c>
      <c r="I42" s="125">
        <f ca="1">'anexa 4 intermediar'!G41</f>
        <v>0</v>
      </c>
      <c r="J42" s="80">
        <f t="shared" si="0"/>
        <v>0</v>
      </c>
      <c r="K42" s="83"/>
    </row>
    <row r="43" spans="1:11" ht="13.5" customHeight="1" thickBot="1">
      <c r="A43" s="96"/>
      <c r="B43" s="95"/>
      <c r="C43" s="679" t="s">
        <v>485</v>
      </c>
      <c r="D43" s="680"/>
      <c r="E43" s="681"/>
      <c r="F43" s="16" t="s">
        <v>486</v>
      </c>
      <c r="G43" s="126">
        <f>G44+G52+G58</f>
        <v>137328594</v>
      </c>
      <c r="H43" s="237">
        <f>H44+H52+H58</f>
        <v>147910817</v>
      </c>
      <c r="I43" s="126">
        <f ca="1">'anexa 4 intermediar'!G42</f>
        <v>0</v>
      </c>
      <c r="J43" s="82">
        <f t="shared" si="0"/>
        <v>0</v>
      </c>
      <c r="K43" s="81"/>
    </row>
    <row r="44" spans="1:11" ht="13.5" thickBot="1">
      <c r="A44" s="96"/>
      <c r="B44" s="96"/>
      <c r="C44" s="17" t="s">
        <v>487</v>
      </c>
      <c r="D44" s="679" t="s">
        <v>488</v>
      </c>
      <c r="E44" s="681"/>
      <c r="F44" s="16" t="s">
        <v>489</v>
      </c>
      <c r="G44" s="125">
        <f>G45+G46+G49+G50+G51</f>
        <v>129840594</v>
      </c>
      <c r="H44" s="244">
        <f>H45+H46+H49+H50+H51</f>
        <v>140110800</v>
      </c>
      <c r="I44" s="126">
        <f ca="1">'anexa 4 intermediar'!G43</f>
        <v>0</v>
      </c>
      <c r="J44" s="80">
        <f t="shared" si="0"/>
        <v>0</v>
      </c>
      <c r="K44" s="83"/>
    </row>
    <row r="45" spans="1:11" ht="13.5" thickBot="1">
      <c r="A45" s="96"/>
      <c r="B45" s="96"/>
      <c r="C45" s="4" t="s">
        <v>93</v>
      </c>
      <c r="D45" s="677" t="s">
        <v>490</v>
      </c>
      <c r="E45" s="678"/>
      <c r="F45" s="9" t="s">
        <v>491</v>
      </c>
      <c r="G45" s="126">
        <v>28462825</v>
      </c>
      <c r="H45" s="237">
        <v>31270763</v>
      </c>
      <c r="I45" s="126">
        <f ca="1">'anexa 4 intermediar'!G44</f>
        <v>0</v>
      </c>
      <c r="J45" s="82">
        <f t="shared" si="0"/>
        <v>0</v>
      </c>
      <c r="K45" s="238">
        <v>601</v>
      </c>
    </row>
    <row r="46" spans="1:11" ht="13.5" thickBot="1">
      <c r="A46" s="96"/>
      <c r="B46" s="96"/>
      <c r="C46" s="4" t="s">
        <v>149</v>
      </c>
      <c r="D46" s="666" t="s">
        <v>492</v>
      </c>
      <c r="E46" s="667"/>
      <c r="F46" s="9" t="s">
        <v>493</v>
      </c>
      <c r="G46" s="126">
        <f>3750000+G48</f>
        <v>85337290</v>
      </c>
      <c r="H46" s="237">
        <v>92191510</v>
      </c>
      <c r="I46" s="126">
        <f ca="1">'anexa 4 intermediar'!G45</f>
        <v>0</v>
      </c>
      <c r="J46" s="82">
        <f t="shared" si="0"/>
        <v>0</v>
      </c>
      <c r="K46" s="83" t="s">
        <v>748</v>
      </c>
    </row>
    <row r="47" spans="1:11" ht="13.5" thickBot="1">
      <c r="A47" s="96"/>
      <c r="B47" s="96"/>
      <c r="C47" s="4"/>
      <c r="D47" s="4" t="s">
        <v>215</v>
      </c>
      <c r="E47" s="4" t="s">
        <v>494</v>
      </c>
      <c r="F47" s="9" t="s">
        <v>495</v>
      </c>
      <c r="G47" s="126">
        <v>700000</v>
      </c>
      <c r="H47" s="237">
        <v>776203</v>
      </c>
      <c r="I47" s="126">
        <f ca="1">'anexa 4 intermediar'!G46</f>
        <v>0</v>
      </c>
      <c r="J47" s="82">
        <f t="shared" si="0"/>
        <v>0</v>
      </c>
      <c r="K47" s="238">
        <v>6024</v>
      </c>
    </row>
    <row r="48" spans="1:11" ht="13.5" customHeight="1" thickBot="1">
      <c r="A48" s="96"/>
      <c r="B48" s="96"/>
      <c r="C48" s="4"/>
      <c r="D48" s="4" t="s">
        <v>239</v>
      </c>
      <c r="E48" s="4" t="s">
        <v>496</v>
      </c>
      <c r="F48" s="9" t="s">
        <v>497</v>
      </c>
      <c r="G48" s="126">
        <v>81587290</v>
      </c>
      <c r="H48" s="237">
        <v>88846705</v>
      </c>
      <c r="I48" s="126">
        <f ca="1">'anexa 4 intermediar'!G47</f>
        <v>0</v>
      </c>
      <c r="J48" s="82">
        <f t="shared" si="0"/>
        <v>0</v>
      </c>
      <c r="K48" s="238" t="s">
        <v>749</v>
      </c>
    </row>
    <row r="49" spans="1:11" ht="13.5" customHeight="1" thickBot="1">
      <c r="A49" s="96"/>
      <c r="B49" s="96"/>
      <c r="C49" s="139" t="s">
        <v>152</v>
      </c>
      <c r="D49" s="666" t="s">
        <v>498</v>
      </c>
      <c r="E49" s="667"/>
      <c r="F49" s="9" t="s">
        <v>499</v>
      </c>
      <c r="G49" s="126">
        <f>140000+1000</f>
        <v>141000</v>
      </c>
      <c r="H49" s="237">
        <v>340074</v>
      </c>
      <c r="I49" s="126">
        <f ca="1">'anexa 4 intermediar'!G48</f>
        <v>0</v>
      </c>
      <c r="J49" s="82">
        <f t="shared" si="0"/>
        <v>0</v>
      </c>
      <c r="K49" s="238" t="s">
        <v>750</v>
      </c>
    </row>
    <row r="50" spans="1:11" ht="13.5" thickBot="1">
      <c r="A50" s="96"/>
      <c r="B50" s="96"/>
      <c r="C50" s="4" t="s">
        <v>155</v>
      </c>
      <c r="D50" s="677" t="s">
        <v>500</v>
      </c>
      <c r="E50" s="678"/>
      <c r="F50" s="9" t="s">
        <v>501</v>
      </c>
      <c r="G50" s="126">
        <v>15899479</v>
      </c>
      <c r="H50" s="237">
        <v>16308453</v>
      </c>
      <c r="I50" s="126">
        <f ca="1">'anexa 4 intermediar'!G49</f>
        <v>0</v>
      </c>
      <c r="J50" s="82">
        <f t="shared" si="0"/>
        <v>0</v>
      </c>
      <c r="K50" s="238">
        <v>605</v>
      </c>
    </row>
    <row r="51" spans="1:11" ht="13.5" customHeight="1" thickBot="1">
      <c r="A51" s="96"/>
      <c r="B51" s="96"/>
      <c r="C51" s="4" t="s">
        <v>94</v>
      </c>
      <c r="D51" s="677" t="s">
        <v>502</v>
      </c>
      <c r="E51" s="678"/>
      <c r="F51" s="9" t="s">
        <v>503</v>
      </c>
      <c r="G51" s="126">
        <v>0</v>
      </c>
      <c r="H51" s="237">
        <v>0</v>
      </c>
      <c r="I51" s="126">
        <f ca="1">'anexa 4 intermediar'!G50</f>
        <v>0</v>
      </c>
      <c r="J51" s="82"/>
      <c r="K51" s="238">
        <v>607</v>
      </c>
    </row>
    <row r="52" spans="1:11" ht="13.5" customHeight="1" thickBot="1">
      <c r="A52" s="96"/>
      <c r="B52" s="79"/>
      <c r="C52" s="17" t="s">
        <v>504</v>
      </c>
      <c r="D52" s="679" t="s">
        <v>505</v>
      </c>
      <c r="E52" s="681"/>
      <c r="F52" s="16" t="s">
        <v>506</v>
      </c>
      <c r="G52" s="125">
        <f>G53+G54+G57</f>
        <v>2945000</v>
      </c>
      <c r="H52" s="244">
        <f>H53+H54+H57</f>
        <v>3205864</v>
      </c>
      <c r="I52" s="126">
        <f ca="1">'anexa 4 intermediar'!G51</f>
        <v>0</v>
      </c>
      <c r="J52" s="80">
        <f t="shared" si="0"/>
        <v>0</v>
      </c>
      <c r="K52" s="81"/>
    </row>
    <row r="53" spans="1:11" ht="13.5" thickBot="1">
      <c r="A53" s="96"/>
      <c r="B53" s="96"/>
      <c r="C53" s="4" t="s">
        <v>93</v>
      </c>
      <c r="D53" s="677" t="s">
        <v>507</v>
      </c>
      <c r="E53" s="678"/>
      <c r="F53" s="9" t="s">
        <v>508</v>
      </c>
      <c r="G53" s="126">
        <v>2425000</v>
      </c>
      <c r="H53" s="237">
        <v>2708041</v>
      </c>
      <c r="I53" s="126">
        <f ca="1">'anexa 4 intermediar'!G52</f>
        <v>0</v>
      </c>
      <c r="J53" s="82">
        <f t="shared" si="0"/>
        <v>0</v>
      </c>
      <c r="K53" s="240">
        <v>611</v>
      </c>
    </row>
    <row r="54" spans="1:11" ht="13.5" thickBot="1">
      <c r="A54" s="96"/>
      <c r="B54" s="96"/>
      <c r="C54" s="4" t="s">
        <v>149</v>
      </c>
      <c r="D54" s="666" t="s">
        <v>509</v>
      </c>
      <c r="E54" s="667"/>
      <c r="F54" s="9" t="s">
        <v>510</v>
      </c>
      <c r="G54" s="126">
        <f>G55+G56</f>
        <v>400000</v>
      </c>
      <c r="H54" s="237">
        <v>383737</v>
      </c>
      <c r="I54" s="126">
        <f ca="1">'anexa 4 intermediar'!G53</f>
        <v>0</v>
      </c>
      <c r="J54" s="82">
        <f t="shared" si="0"/>
        <v>0</v>
      </c>
      <c r="K54" s="81" t="s">
        <v>737</v>
      </c>
    </row>
    <row r="55" spans="1:11" ht="13.5" thickBot="1">
      <c r="A55" s="96"/>
      <c r="B55" s="96"/>
      <c r="C55" s="4"/>
      <c r="D55" s="4" t="s">
        <v>511</v>
      </c>
      <c r="E55" s="10" t="s">
        <v>305</v>
      </c>
      <c r="F55" s="9" t="s">
        <v>340</v>
      </c>
      <c r="G55" s="249">
        <v>250000</v>
      </c>
      <c r="H55" s="237">
        <v>241911</v>
      </c>
      <c r="I55" s="126">
        <f ca="1">'anexa 4 intermediar'!G54</f>
        <v>0</v>
      </c>
      <c r="J55" s="82">
        <f t="shared" si="0"/>
        <v>0</v>
      </c>
      <c r="K55" s="81"/>
    </row>
    <row r="56" spans="1:11" ht="13.5" thickBot="1">
      <c r="A56" s="96"/>
      <c r="B56" s="96"/>
      <c r="C56" s="4"/>
      <c r="D56" s="4" t="s">
        <v>239</v>
      </c>
      <c r="E56" s="4" t="s">
        <v>306</v>
      </c>
      <c r="F56" s="9" t="s">
        <v>341</v>
      </c>
      <c r="G56" s="249">
        <v>150000</v>
      </c>
      <c r="H56" s="237">
        <v>141826</v>
      </c>
      <c r="I56" s="126">
        <f ca="1">'anexa 4 intermediar'!G55</f>
        <v>0</v>
      </c>
      <c r="J56" s="82">
        <f t="shared" si="0"/>
        <v>0</v>
      </c>
      <c r="K56" s="81"/>
    </row>
    <row r="57" spans="1:11" ht="13.5" customHeight="1" thickBot="1">
      <c r="A57" s="96"/>
      <c r="B57" s="96"/>
      <c r="C57" s="4" t="s">
        <v>152</v>
      </c>
      <c r="D57" s="668" t="s">
        <v>307</v>
      </c>
      <c r="E57" s="669"/>
      <c r="F57" s="9" t="s">
        <v>342</v>
      </c>
      <c r="G57" s="126">
        <v>120000</v>
      </c>
      <c r="H57" s="237">
        <v>114086</v>
      </c>
      <c r="I57" s="126">
        <f ca="1">'anexa 4 intermediar'!G56</f>
        <v>0</v>
      </c>
      <c r="J57" s="82">
        <f t="shared" si="0"/>
        <v>0</v>
      </c>
      <c r="K57" s="238">
        <v>613</v>
      </c>
    </row>
    <row r="58" spans="1:11" ht="13.5" customHeight="1" thickBot="1">
      <c r="A58" s="96"/>
      <c r="B58" s="96"/>
      <c r="C58" s="17" t="s">
        <v>308</v>
      </c>
      <c r="D58" s="695" t="s">
        <v>512</v>
      </c>
      <c r="E58" s="696"/>
      <c r="F58" s="16" t="s">
        <v>343</v>
      </c>
      <c r="G58" s="125">
        <f>G59+G60+G62+G63+G74+G75+G79+G80+G81+G90</f>
        <v>4543000</v>
      </c>
      <c r="H58" s="244">
        <f>H59+H60+H62+H63+H74+H75+H79+H80+H81+H90</f>
        <v>4594153</v>
      </c>
      <c r="I58" s="126">
        <f ca="1">'anexa 4 intermediar'!G57</f>
        <v>0</v>
      </c>
      <c r="J58" s="80">
        <f t="shared" si="0"/>
        <v>0</v>
      </c>
      <c r="K58" s="81"/>
    </row>
    <row r="59" spans="1:11" ht="13.5" thickBot="1">
      <c r="A59" s="96"/>
      <c r="B59" s="96"/>
      <c r="C59" s="4" t="s">
        <v>93</v>
      </c>
      <c r="D59" s="668" t="s">
        <v>310</v>
      </c>
      <c r="E59" s="669"/>
      <c r="F59" s="9" t="s">
        <v>344</v>
      </c>
      <c r="G59" s="126"/>
      <c r="H59" s="237">
        <v>0</v>
      </c>
      <c r="I59" s="126">
        <f ca="1">'anexa 4 intermediar'!G58</f>
        <v>0</v>
      </c>
      <c r="J59" s="82" t="e">
        <f t="shared" si="0"/>
        <v>#DIV/0!</v>
      </c>
      <c r="K59" s="81"/>
    </row>
    <row r="60" spans="1:11" ht="13.5" thickBot="1">
      <c r="A60" s="96"/>
      <c r="B60" s="96"/>
      <c r="C60" s="4" t="s">
        <v>149</v>
      </c>
      <c r="D60" s="664" t="s">
        <v>311</v>
      </c>
      <c r="E60" s="665"/>
      <c r="F60" s="9" t="s">
        <v>345</v>
      </c>
      <c r="G60" s="126">
        <v>300000</v>
      </c>
      <c r="H60" s="237">
        <v>237066</v>
      </c>
      <c r="I60" s="126">
        <f ca="1">'anexa 4 intermediar'!G59</f>
        <v>0</v>
      </c>
      <c r="J60" s="82">
        <f t="shared" si="0"/>
        <v>0</v>
      </c>
      <c r="K60" s="238">
        <v>622</v>
      </c>
    </row>
    <row r="61" spans="1:11" ht="13.5" customHeight="1" thickBot="1">
      <c r="A61" s="96"/>
      <c r="B61" s="96"/>
      <c r="C61" s="4"/>
      <c r="D61" s="4" t="s">
        <v>511</v>
      </c>
      <c r="E61" s="10" t="s">
        <v>513</v>
      </c>
      <c r="F61" s="9" t="s">
        <v>346</v>
      </c>
      <c r="G61" s="126">
        <v>300000</v>
      </c>
      <c r="H61" s="237">
        <v>237066</v>
      </c>
      <c r="I61" s="126">
        <f ca="1">'anexa 4 intermediar'!G60</f>
        <v>0</v>
      </c>
      <c r="J61" s="82">
        <f t="shared" si="0"/>
        <v>0</v>
      </c>
      <c r="K61" s="239"/>
    </row>
    <row r="62" spans="1:11" ht="13.5" customHeight="1" thickBot="1">
      <c r="A62" s="96"/>
      <c r="B62" s="96"/>
      <c r="C62" s="4" t="s">
        <v>152</v>
      </c>
      <c r="D62" s="666" t="s">
        <v>312</v>
      </c>
      <c r="E62" s="667"/>
      <c r="F62" s="9" t="s">
        <v>347</v>
      </c>
      <c r="G62" s="126">
        <f>G63+G65</f>
        <v>39000</v>
      </c>
      <c r="H62" s="237">
        <f>H63+H65</f>
        <v>60696</v>
      </c>
      <c r="I62" s="126">
        <f ca="1">'anexa 4 intermediar'!G61</f>
        <v>0</v>
      </c>
      <c r="J62" s="82">
        <f t="shared" si="0"/>
        <v>0</v>
      </c>
      <c r="K62" s="239"/>
    </row>
    <row r="63" spans="1:11" ht="13.5" thickBot="1">
      <c r="A63" s="96"/>
      <c r="B63" s="96"/>
      <c r="C63" s="4"/>
      <c r="D63" s="4" t="s">
        <v>514</v>
      </c>
      <c r="E63" s="4" t="s">
        <v>313</v>
      </c>
      <c r="F63" s="9" t="s">
        <v>348</v>
      </c>
      <c r="G63" s="126">
        <v>29000</v>
      </c>
      <c r="H63" s="237">
        <v>56222</v>
      </c>
      <c r="I63" s="126">
        <f ca="1">'anexa 4 intermediar'!G62</f>
        <v>0</v>
      </c>
      <c r="J63" s="82">
        <f>I63/H63</f>
        <v>0</v>
      </c>
      <c r="K63" s="239" t="s">
        <v>747</v>
      </c>
    </row>
    <row r="64" spans="1:11" ht="26.25" thickBot="1">
      <c r="A64" s="96"/>
      <c r="B64" s="96"/>
      <c r="C64" s="4"/>
      <c r="D64" s="4"/>
      <c r="E64" s="10" t="s">
        <v>314</v>
      </c>
      <c r="F64" s="9" t="s">
        <v>349</v>
      </c>
      <c r="G64" s="126">
        <v>0</v>
      </c>
      <c r="H64" s="237">
        <v>0</v>
      </c>
      <c r="I64" s="126">
        <f ca="1">'anexa 4 intermediar'!G63</f>
        <v>0</v>
      </c>
      <c r="J64" s="82" t="e">
        <f>I64/H64</f>
        <v>#DIV/0!</v>
      </c>
      <c r="K64" s="239"/>
    </row>
    <row r="65" spans="1:11" ht="13.5" thickBot="1">
      <c r="A65" s="96"/>
      <c r="B65" s="96"/>
      <c r="C65" s="4"/>
      <c r="D65" s="4" t="s">
        <v>315</v>
      </c>
      <c r="E65" s="10" t="s">
        <v>316</v>
      </c>
      <c r="F65" s="9" t="s">
        <v>350</v>
      </c>
      <c r="G65" s="126">
        <v>10000</v>
      </c>
      <c r="H65" s="237">
        <v>4474</v>
      </c>
      <c r="I65" s="126">
        <f ca="1">'anexa 4 intermediar'!G64</f>
        <v>0</v>
      </c>
      <c r="J65" s="82">
        <f t="shared" si="0"/>
        <v>0</v>
      </c>
      <c r="K65" s="239" t="s">
        <v>746</v>
      </c>
    </row>
    <row r="66" spans="1:11" ht="39" thickBot="1">
      <c r="A66" s="96"/>
      <c r="B66" s="96"/>
      <c r="C66" s="4"/>
      <c r="D66" s="4"/>
      <c r="E66" s="10" t="s">
        <v>515</v>
      </c>
      <c r="F66" s="9" t="s">
        <v>351</v>
      </c>
      <c r="G66" s="126">
        <v>0</v>
      </c>
      <c r="H66" s="237">
        <v>0</v>
      </c>
      <c r="I66" s="126">
        <f ca="1">'anexa 4 intermediar'!G65</f>
        <v>0</v>
      </c>
      <c r="J66" s="82" t="e">
        <f t="shared" si="0"/>
        <v>#DIV/0!</v>
      </c>
      <c r="K66" s="239"/>
    </row>
    <row r="67" spans="1:11" ht="39" thickBot="1">
      <c r="A67" s="96"/>
      <c r="B67" s="96"/>
      <c r="C67" s="4"/>
      <c r="D67" s="4"/>
      <c r="E67" s="10" t="s">
        <v>318</v>
      </c>
      <c r="F67" s="9" t="s">
        <v>352</v>
      </c>
      <c r="G67" s="126">
        <v>0</v>
      </c>
      <c r="H67" s="237">
        <v>0</v>
      </c>
      <c r="I67" s="126">
        <f ca="1">'anexa 4 intermediar'!G66</f>
        <v>0</v>
      </c>
      <c r="J67" s="82" t="e">
        <f t="shared" si="0"/>
        <v>#DIV/0!</v>
      </c>
      <c r="K67" s="239"/>
    </row>
    <row r="68" spans="1:11" ht="15.75" customHeight="1" thickBot="1">
      <c r="A68" s="96"/>
      <c r="B68" s="96"/>
      <c r="C68" s="4"/>
      <c r="D68" s="4"/>
      <c r="E68" s="4" t="s">
        <v>319</v>
      </c>
      <c r="F68" s="9" t="s">
        <v>353</v>
      </c>
      <c r="G68" s="126">
        <v>10000</v>
      </c>
      <c r="H68" s="237">
        <v>4474</v>
      </c>
      <c r="I68" s="126">
        <f ca="1">'anexa 4 intermediar'!G67</f>
        <v>0</v>
      </c>
      <c r="J68" s="82"/>
      <c r="K68" s="239"/>
    </row>
    <row r="69" spans="1:11" ht="15.75" customHeight="1" thickBot="1">
      <c r="A69" s="96"/>
      <c r="B69" s="96"/>
      <c r="C69" s="4"/>
      <c r="D69" s="666" t="s">
        <v>320</v>
      </c>
      <c r="E69" s="667"/>
      <c r="F69" s="9" t="s">
        <v>354</v>
      </c>
      <c r="G69" s="126">
        <f>G70+G71+G72+G73</f>
        <v>10000</v>
      </c>
      <c r="H69" s="237">
        <v>27700</v>
      </c>
      <c r="I69" s="126">
        <f ca="1">'anexa 4 intermediar'!G68</f>
        <v>0</v>
      </c>
      <c r="J69" s="82">
        <f t="shared" si="0"/>
        <v>0</v>
      </c>
      <c r="K69" s="238" t="s">
        <v>745</v>
      </c>
    </row>
    <row r="70" spans="1:11" ht="13.5" thickBot="1">
      <c r="A70" s="673"/>
      <c r="B70" s="670"/>
      <c r="C70" s="4"/>
      <c r="D70" s="4" t="s">
        <v>321</v>
      </c>
      <c r="E70" s="251" t="s">
        <v>440</v>
      </c>
      <c r="F70" s="9" t="s">
        <v>122</v>
      </c>
      <c r="G70" s="126"/>
      <c r="H70" s="237"/>
      <c r="I70" s="126">
        <f ca="1">'anexa 4 intermediar'!G69</f>
        <v>0</v>
      </c>
      <c r="J70" s="82" t="e">
        <f t="shared" si="0"/>
        <v>#DIV/0!</v>
      </c>
      <c r="K70" s="239"/>
    </row>
    <row r="71" spans="1:11" ht="13.5" thickBot="1">
      <c r="A71" s="674"/>
      <c r="B71" s="671"/>
      <c r="C71" s="4"/>
      <c r="D71" s="4" t="s">
        <v>322</v>
      </c>
      <c r="E71" s="10" t="s">
        <v>434</v>
      </c>
      <c r="F71" s="9" t="s">
        <v>123</v>
      </c>
      <c r="G71" s="126"/>
      <c r="H71" s="237">
        <v>5000</v>
      </c>
      <c r="I71" s="126">
        <f ca="1">'anexa 4 intermediar'!G70</f>
        <v>0</v>
      </c>
      <c r="J71" s="82">
        <f t="shared" si="0"/>
        <v>0</v>
      </c>
      <c r="K71" s="239"/>
    </row>
    <row r="72" spans="1:11" ht="13.5" thickBot="1">
      <c r="A72" s="674"/>
      <c r="B72" s="671"/>
      <c r="C72" s="4"/>
      <c r="D72" s="4" t="s">
        <v>323</v>
      </c>
      <c r="E72" s="10" t="s">
        <v>435</v>
      </c>
      <c r="F72" s="9" t="s">
        <v>124</v>
      </c>
      <c r="G72" s="126"/>
      <c r="H72" s="237">
        <v>3000</v>
      </c>
      <c r="I72" s="126">
        <f ca="1">'anexa 4 intermediar'!G71</f>
        <v>0</v>
      </c>
      <c r="J72" s="82">
        <f t="shared" si="0"/>
        <v>0</v>
      </c>
      <c r="K72" s="239"/>
    </row>
    <row r="73" spans="1:11" ht="13.5" thickBot="1">
      <c r="A73" s="674"/>
      <c r="B73" s="671"/>
      <c r="C73" s="4"/>
      <c r="D73" s="4" t="s">
        <v>324</v>
      </c>
      <c r="E73" s="4" t="s">
        <v>416</v>
      </c>
      <c r="F73" s="9" t="s">
        <v>125</v>
      </c>
      <c r="G73" s="126">
        <v>10000</v>
      </c>
      <c r="H73" s="237">
        <f>H69-H70-H71-H72</f>
        <v>19700</v>
      </c>
      <c r="I73" s="126">
        <f ca="1">'anexa 4 intermediar'!G72</f>
        <v>0</v>
      </c>
      <c r="J73" s="82">
        <f t="shared" si="0"/>
        <v>0</v>
      </c>
      <c r="K73" s="239"/>
    </row>
    <row r="74" spans="1:11" ht="26.25" customHeight="1" thickBot="1">
      <c r="A74" s="674"/>
      <c r="B74" s="671"/>
      <c r="C74" s="4" t="s">
        <v>94</v>
      </c>
      <c r="D74" s="684" t="s">
        <v>431</v>
      </c>
      <c r="E74" s="685"/>
      <c r="F74" s="9" t="s">
        <v>126</v>
      </c>
      <c r="G74" s="126"/>
      <c r="H74" s="237">
        <v>97480</v>
      </c>
      <c r="I74" s="126">
        <f ca="1">'anexa 4 intermediar'!G73</f>
        <v>0</v>
      </c>
      <c r="J74" s="82">
        <f t="shared" si="0"/>
        <v>0</v>
      </c>
      <c r="K74" s="238">
        <v>624</v>
      </c>
    </row>
    <row r="75" spans="1:11" ht="13.5" thickBot="1">
      <c r="A75" s="674"/>
      <c r="B75" s="671"/>
      <c r="C75" s="4" t="s">
        <v>127</v>
      </c>
      <c r="D75" s="666" t="s">
        <v>326</v>
      </c>
      <c r="E75" s="667"/>
      <c r="F75" s="9" t="s">
        <v>128</v>
      </c>
      <c r="G75" s="126">
        <v>300000</v>
      </c>
      <c r="H75" s="237">
        <v>484706</v>
      </c>
      <c r="I75" s="126">
        <f ca="1">'anexa 4 intermediar'!G74</f>
        <v>0</v>
      </c>
      <c r="J75" s="82">
        <f t="shared" si="0"/>
        <v>0</v>
      </c>
      <c r="K75" s="238">
        <v>625</v>
      </c>
    </row>
    <row r="76" spans="1:11" ht="13.5" thickBot="1">
      <c r="A76" s="674"/>
      <c r="B76" s="671"/>
      <c r="C76" s="4"/>
      <c r="D76" s="666" t="s">
        <v>327</v>
      </c>
      <c r="E76" s="667"/>
      <c r="F76" s="9" t="s">
        <v>129</v>
      </c>
      <c r="G76" s="126">
        <f>G77+G78</f>
        <v>9000</v>
      </c>
      <c r="H76" s="237">
        <f>H77+H78</f>
        <v>8247</v>
      </c>
      <c r="I76" s="126">
        <f ca="1">'anexa 4 intermediar'!G75</f>
        <v>0</v>
      </c>
      <c r="J76" s="82">
        <f t="shared" si="0"/>
        <v>0</v>
      </c>
      <c r="K76" s="239"/>
    </row>
    <row r="77" spans="1:11" ht="13.5" thickBot="1">
      <c r="A77" s="674"/>
      <c r="B77" s="671"/>
      <c r="C77" s="4"/>
      <c r="D77" s="675" t="s">
        <v>54</v>
      </c>
      <c r="E77" s="676"/>
      <c r="F77" s="9" t="s">
        <v>130</v>
      </c>
      <c r="G77" s="245"/>
      <c r="H77" s="245"/>
      <c r="I77" s="126">
        <f ca="1">'anexa 4 intermediar'!G76</f>
        <v>0</v>
      </c>
      <c r="J77" s="82" t="e">
        <f t="shared" si="0"/>
        <v>#DIV/0!</v>
      </c>
      <c r="K77" s="239"/>
    </row>
    <row r="78" spans="1:11" ht="13.5" thickBot="1">
      <c r="A78" s="674"/>
      <c r="B78" s="671"/>
      <c r="C78" s="4"/>
      <c r="D78" s="675" t="s">
        <v>55</v>
      </c>
      <c r="E78" s="676"/>
      <c r="F78" s="9" t="s">
        <v>131</v>
      </c>
      <c r="G78" s="126">
        <v>9000</v>
      </c>
      <c r="H78" s="237">
        <v>8247</v>
      </c>
      <c r="I78" s="126">
        <f ca="1">'anexa 4 intermediar'!G77</f>
        <v>0</v>
      </c>
      <c r="J78" s="82">
        <f t="shared" ref="J78:J140" si="1">I78/H78</f>
        <v>0</v>
      </c>
      <c r="K78" s="239"/>
    </row>
    <row r="79" spans="1:11" ht="13.5" thickBot="1">
      <c r="A79" s="674"/>
      <c r="B79" s="671"/>
      <c r="C79" s="4" t="s">
        <v>132</v>
      </c>
      <c r="D79" s="677" t="s">
        <v>328</v>
      </c>
      <c r="E79" s="678"/>
      <c r="F79" s="9" t="s">
        <v>133</v>
      </c>
      <c r="G79" s="126">
        <v>275000</v>
      </c>
      <c r="H79" s="237">
        <v>329573</v>
      </c>
      <c r="I79" s="126">
        <f ca="1">'anexa 4 intermediar'!G78</f>
        <v>0</v>
      </c>
      <c r="J79" s="82">
        <f t="shared" si="1"/>
        <v>0</v>
      </c>
      <c r="K79" s="238">
        <v>626</v>
      </c>
    </row>
    <row r="80" spans="1:11" ht="13.5" customHeight="1" thickBot="1">
      <c r="A80" s="674"/>
      <c r="B80" s="671"/>
      <c r="C80" s="4" t="s">
        <v>56</v>
      </c>
      <c r="D80" s="677" t="s">
        <v>330</v>
      </c>
      <c r="E80" s="678"/>
      <c r="F80" s="9" t="s">
        <v>134</v>
      </c>
      <c r="G80" s="126">
        <v>900000</v>
      </c>
      <c r="H80" s="237">
        <v>778213</v>
      </c>
      <c r="I80" s="126">
        <f ca="1">'anexa 4 intermediar'!G79</f>
        <v>0</v>
      </c>
      <c r="J80" s="82">
        <f t="shared" si="1"/>
        <v>0</v>
      </c>
      <c r="K80" s="238">
        <v>627</v>
      </c>
    </row>
    <row r="81" spans="1:11" ht="18" customHeight="1" thickBot="1">
      <c r="A81" s="674"/>
      <c r="B81" s="671"/>
      <c r="C81" s="4" t="s">
        <v>57</v>
      </c>
      <c r="D81" s="666" t="s">
        <v>332</v>
      </c>
      <c r="E81" s="667"/>
      <c r="F81" s="9" t="s">
        <v>135</v>
      </c>
      <c r="G81" s="126">
        <v>2700000</v>
      </c>
      <c r="H81" s="237">
        <v>2550197</v>
      </c>
      <c r="I81" s="126">
        <f ca="1">'anexa 4 intermediar'!G80</f>
        <v>0</v>
      </c>
      <c r="J81" s="82">
        <f t="shared" si="1"/>
        <v>0</v>
      </c>
      <c r="K81" s="238">
        <v>628</v>
      </c>
    </row>
    <row r="82" spans="1:11" ht="13.5" thickBot="1">
      <c r="A82" s="674"/>
      <c r="B82" s="671"/>
      <c r="C82" s="4"/>
      <c r="D82" s="4" t="s">
        <v>181</v>
      </c>
      <c r="E82" s="4" t="s">
        <v>333</v>
      </c>
      <c r="F82" s="9" t="s">
        <v>136</v>
      </c>
      <c r="G82" s="127">
        <v>1050000</v>
      </c>
      <c r="H82" s="237">
        <v>1032233</v>
      </c>
      <c r="I82" s="126">
        <f ca="1">'anexa 4 intermediar'!G81</f>
        <v>0</v>
      </c>
      <c r="J82" s="82">
        <f t="shared" si="1"/>
        <v>0</v>
      </c>
      <c r="K82" s="239" t="s">
        <v>742</v>
      </c>
    </row>
    <row r="83" spans="1:11" ht="26.25" thickBot="1">
      <c r="A83" s="674"/>
      <c r="B83" s="671"/>
      <c r="C83" s="4"/>
      <c r="D83" s="4" t="s">
        <v>182</v>
      </c>
      <c r="E83" s="10" t="s">
        <v>432</v>
      </c>
      <c r="F83" s="9" t="s">
        <v>137</v>
      </c>
      <c r="G83" s="127">
        <v>75000</v>
      </c>
      <c r="H83" s="237">
        <v>71158</v>
      </c>
      <c r="I83" s="126">
        <f ca="1">'anexa 4 intermediar'!G82</f>
        <v>0</v>
      </c>
      <c r="J83" s="82">
        <f t="shared" si="1"/>
        <v>0</v>
      </c>
      <c r="K83" s="81" t="s">
        <v>741</v>
      </c>
    </row>
    <row r="84" spans="1:11" ht="13.5" thickBot="1">
      <c r="A84" s="674"/>
      <c r="B84" s="671"/>
      <c r="C84" s="4"/>
      <c r="D84" s="4" t="s">
        <v>183</v>
      </c>
      <c r="E84" s="4" t="s">
        <v>334</v>
      </c>
      <c r="F84" s="9" t="s">
        <v>138</v>
      </c>
      <c r="G84" s="126">
        <v>100000</v>
      </c>
      <c r="H84" s="237">
        <v>78965</v>
      </c>
      <c r="I84" s="126">
        <f ca="1">'anexa 4 intermediar'!G83</f>
        <v>0</v>
      </c>
      <c r="J84" s="82">
        <f t="shared" si="1"/>
        <v>0</v>
      </c>
      <c r="K84" s="81" t="s">
        <v>740</v>
      </c>
    </row>
    <row r="85" spans="1:11" ht="26.25" thickBot="1">
      <c r="A85" s="674"/>
      <c r="B85" s="671"/>
      <c r="C85" s="4"/>
      <c r="D85" s="4" t="s">
        <v>184</v>
      </c>
      <c r="E85" s="19" t="s">
        <v>335</v>
      </c>
      <c r="F85" s="9" t="s">
        <v>139</v>
      </c>
      <c r="G85" s="126">
        <v>0</v>
      </c>
      <c r="H85" s="237">
        <v>0</v>
      </c>
      <c r="I85" s="126">
        <f ca="1">'anexa 4 intermediar'!G84</f>
        <v>0</v>
      </c>
      <c r="J85" s="82" t="e">
        <f t="shared" si="1"/>
        <v>#DIV/0!</v>
      </c>
      <c r="K85" s="81"/>
    </row>
    <row r="86" spans="1:11" ht="13.5" thickBot="1">
      <c r="A86" s="674"/>
      <c r="B86" s="671"/>
      <c r="C86" s="4"/>
      <c r="D86" s="4"/>
      <c r="E86" s="10" t="s">
        <v>58</v>
      </c>
      <c r="F86" s="9" t="s">
        <v>140</v>
      </c>
      <c r="G86" s="126">
        <v>0</v>
      </c>
      <c r="H86" s="237">
        <v>0</v>
      </c>
      <c r="I86" s="126">
        <f ca="1">'anexa 4 intermediar'!G85</f>
        <v>0</v>
      </c>
      <c r="J86" s="82" t="e">
        <f t="shared" si="1"/>
        <v>#DIV/0!</v>
      </c>
      <c r="K86" s="81"/>
    </row>
    <row r="87" spans="1:11" ht="13.5" thickBot="1">
      <c r="A87" s="674"/>
      <c r="B87" s="671"/>
      <c r="C87" s="4"/>
      <c r="D87" s="4" t="s">
        <v>185</v>
      </c>
      <c r="E87" s="10" t="s">
        <v>336</v>
      </c>
      <c r="F87" s="9" t="s">
        <v>141</v>
      </c>
      <c r="G87" s="126">
        <v>0</v>
      </c>
      <c r="H87" s="237">
        <v>0</v>
      </c>
      <c r="I87" s="126">
        <f ca="1">'anexa 4 intermediar'!G86</f>
        <v>0</v>
      </c>
      <c r="J87" s="82" t="e">
        <f t="shared" si="1"/>
        <v>#DIV/0!</v>
      </c>
      <c r="K87" s="81"/>
    </row>
    <row r="88" spans="1:11" ht="39" thickBot="1">
      <c r="A88" s="674"/>
      <c r="B88" s="671"/>
      <c r="C88" s="4"/>
      <c r="D88" s="4" t="s">
        <v>186</v>
      </c>
      <c r="E88" s="10" t="s">
        <v>433</v>
      </c>
      <c r="F88" s="9" t="s">
        <v>142</v>
      </c>
      <c r="G88" s="126">
        <v>0</v>
      </c>
      <c r="H88" s="237">
        <v>0</v>
      </c>
      <c r="I88" s="126">
        <f ca="1">'anexa 4 intermediar'!G87</f>
        <v>0</v>
      </c>
      <c r="J88" s="82" t="e">
        <f t="shared" si="1"/>
        <v>#DIV/0!</v>
      </c>
      <c r="K88" s="81"/>
    </row>
    <row r="89" spans="1:11" ht="13.5" thickBot="1">
      <c r="A89" s="674"/>
      <c r="B89" s="671"/>
      <c r="C89" s="4"/>
      <c r="D89" s="4" t="s">
        <v>187</v>
      </c>
      <c r="E89" s="10" t="s">
        <v>338</v>
      </c>
      <c r="F89" s="9" t="s">
        <v>143</v>
      </c>
      <c r="G89" s="126"/>
      <c r="H89" s="237">
        <v>0</v>
      </c>
      <c r="I89" s="126">
        <f ca="1">'anexa 4 intermediar'!G88</f>
        <v>0</v>
      </c>
      <c r="J89" s="82"/>
      <c r="K89" s="81"/>
    </row>
    <row r="90" spans="1:11" ht="13.5" customHeight="1" thickBot="1">
      <c r="A90" s="674"/>
      <c r="B90" s="671"/>
      <c r="C90" s="4" t="s">
        <v>144</v>
      </c>
      <c r="D90" s="668" t="s">
        <v>296</v>
      </c>
      <c r="E90" s="669"/>
      <c r="F90" s="9" t="s">
        <v>145</v>
      </c>
      <c r="G90" s="126"/>
      <c r="H90" s="237"/>
      <c r="I90" s="126">
        <f ca="1">'anexa 4 intermediar'!G89</f>
        <v>0</v>
      </c>
      <c r="J90" s="82" t="e">
        <f t="shared" si="1"/>
        <v>#DIV/0!</v>
      </c>
      <c r="K90" s="81"/>
    </row>
    <row r="91" spans="1:11" ht="27" customHeight="1" thickBot="1">
      <c r="A91" s="674"/>
      <c r="B91" s="671"/>
      <c r="C91" s="679" t="s">
        <v>703</v>
      </c>
      <c r="D91" s="680"/>
      <c r="E91" s="681"/>
      <c r="F91" s="16" t="s">
        <v>146</v>
      </c>
      <c r="G91" s="125">
        <f>638500+400000+182917</f>
        <v>1221417</v>
      </c>
      <c r="H91" s="244">
        <f>H92+H93+H94+H95+H96+H97</f>
        <v>1683469</v>
      </c>
      <c r="I91" s="125">
        <f ca="1">'anexa 4 intermediar'!G90</f>
        <v>0</v>
      </c>
      <c r="J91" s="82">
        <f t="shared" si="1"/>
        <v>0</v>
      </c>
      <c r="K91" s="81" t="s">
        <v>757</v>
      </c>
    </row>
    <row r="92" spans="1:11" ht="13.5" customHeight="1" thickBot="1">
      <c r="A92" s="674"/>
      <c r="B92" s="671"/>
      <c r="C92" s="4" t="s">
        <v>93</v>
      </c>
      <c r="D92" s="666" t="s">
        <v>147</v>
      </c>
      <c r="E92" s="667"/>
      <c r="F92" s="9" t="s">
        <v>148</v>
      </c>
      <c r="G92" s="126">
        <v>0</v>
      </c>
      <c r="H92" s="237">
        <v>0</v>
      </c>
      <c r="I92" s="126">
        <f ca="1">'anexa 4 intermediar'!G91</f>
        <v>0</v>
      </c>
      <c r="J92" s="82"/>
      <c r="K92" s="81"/>
    </row>
    <row r="93" spans="1:11" ht="13.5" customHeight="1" thickBot="1">
      <c r="A93" s="674"/>
      <c r="B93" s="671"/>
      <c r="C93" s="4" t="s">
        <v>149</v>
      </c>
      <c r="D93" s="666" t="s">
        <v>150</v>
      </c>
      <c r="E93" s="667"/>
      <c r="F93" s="9" t="s">
        <v>151</v>
      </c>
      <c r="G93" s="126">
        <v>182917</v>
      </c>
      <c r="H93" s="237">
        <v>176355</v>
      </c>
      <c r="I93" s="126">
        <f ca="1">'anexa 4 intermediar'!G92</f>
        <v>0</v>
      </c>
      <c r="J93" s="82">
        <f t="shared" si="1"/>
        <v>0</v>
      </c>
      <c r="K93" s="81" t="s">
        <v>739</v>
      </c>
    </row>
    <row r="94" spans="1:11" ht="13.5" thickBot="1">
      <c r="A94" s="674"/>
      <c r="B94" s="671"/>
      <c r="C94" s="4" t="s">
        <v>152</v>
      </c>
      <c r="D94" s="677" t="s">
        <v>153</v>
      </c>
      <c r="E94" s="678"/>
      <c r="F94" s="9" t="s">
        <v>154</v>
      </c>
      <c r="G94" s="126">
        <v>60000</v>
      </c>
      <c r="H94" s="237">
        <v>62578</v>
      </c>
      <c r="I94" s="126">
        <f ca="1">'anexa 4 intermediar'!G93</f>
        <v>0</v>
      </c>
      <c r="J94" s="82">
        <f t="shared" si="1"/>
        <v>0</v>
      </c>
      <c r="K94" s="81" t="s">
        <v>751</v>
      </c>
    </row>
    <row r="95" spans="1:11" ht="13.5" thickBot="1">
      <c r="A95" s="674"/>
      <c r="B95" s="671"/>
      <c r="C95" s="4" t="s">
        <v>155</v>
      </c>
      <c r="D95" s="677" t="s">
        <v>156</v>
      </c>
      <c r="E95" s="678"/>
      <c r="F95" s="9" t="s">
        <v>157</v>
      </c>
      <c r="G95" s="127">
        <v>400</v>
      </c>
      <c r="H95" s="237">
        <v>400</v>
      </c>
      <c r="I95" s="126">
        <f ca="1">'anexa 4 intermediar'!G94</f>
        <v>0</v>
      </c>
      <c r="J95" s="82">
        <f t="shared" si="1"/>
        <v>0</v>
      </c>
      <c r="K95" s="83" t="s">
        <v>743</v>
      </c>
    </row>
    <row r="96" spans="1:11" ht="13.5" thickBot="1">
      <c r="A96" s="674"/>
      <c r="B96" s="671"/>
      <c r="C96" s="4" t="s">
        <v>94</v>
      </c>
      <c r="D96" s="677" t="s">
        <v>158</v>
      </c>
      <c r="E96" s="678"/>
      <c r="F96" s="9" t="s">
        <v>159</v>
      </c>
      <c r="G96" s="127">
        <v>130000</v>
      </c>
      <c r="H96" s="237">
        <v>125208</v>
      </c>
      <c r="I96" s="126">
        <f ca="1">'anexa 4 intermediar'!G95</f>
        <v>0</v>
      </c>
      <c r="J96" s="82">
        <f t="shared" si="1"/>
        <v>0</v>
      </c>
      <c r="K96" s="81" t="s">
        <v>738</v>
      </c>
    </row>
    <row r="97" spans="1:11" ht="13.5" customHeight="1" thickBot="1">
      <c r="A97" s="674"/>
      <c r="B97" s="671"/>
      <c r="C97" s="4" t="s">
        <v>105</v>
      </c>
      <c r="D97" s="677" t="s">
        <v>160</v>
      </c>
      <c r="E97" s="678"/>
      <c r="F97" s="9" t="s">
        <v>161</v>
      </c>
      <c r="G97" s="127">
        <f>G91-G92-G93-G94-G95-G96</f>
        <v>848100</v>
      </c>
      <c r="H97" s="237">
        <v>1318928</v>
      </c>
      <c r="I97" s="126">
        <f ca="1">'anexa 4 intermediar'!G96</f>
        <v>0</v>
      </c>
      <c r="J97" s="82">
        <f t="shared" si="1"/>
        <v>0</v>
      </c>
      <c r="K97" s="83" t="s">
        <v>744</v>
      </c>
    </row>
    <row r="98" spans="1:11" ht="13.5" customHeight="1" thickBot="1">
      <c r="A98" s="674"/>
      <c r="B98" s="671"/>
      <c r="C98" s="679" t="s">
        <v>436</v>
      </c>
      <c r="D98" s="680"/>
      <c r="E98" s="681"/>
      <c r="F98" s="16" t="s">
        <v>162</v>
      </c>
      <c r="G98" s="159">
        <f>G99+G103+G111+G115+G120</f>
        <v>54606930</v>
      </c>
      <c r="H98" s="244">
        <f>H99+H103+H111+H115+H120</f>
        <v>54439557</v>
      </c>
      <c r="I98" s="125">
        <f ca="1">'anexa 4 intermediar'!G97</f>
        <v>0</v>
      </c>
      <c r="J98" s="80">
        <f t="shared" si="1"/>
        <v>0</v>
      </c>
      <c r="K98" s="81"/>
    </row>
    <row r="99" spans="1:11" ht="13.5" customHeight="1" thickBot="1">
      <c r="A99" s="674"/>
      <c r="B99" s="671"/>
      <c r="C99" s="241" t="s">
        <v>163</v>
      </c>
      <c r="D99" s="666" t="s">
        <v>164</v>
      </c>
      <c r="E99" s="667"/>
      <c r="F99" s="9" t="s">
        <v>165</v>
      </c>
      <c r="G99" s="237">
        <f>38505600-G113-G115</f>
        <v>35665270</v>
      </c>
      <c r="H99" s="237">
        <f>38502983-H113-H115</f>
        <v>35426767</v>
      </c>
      <c r="I99" s="126">
        <f ca="1">'anexa 4 intermediar'!G98</f>
        <v>0</v>
      </c>
      <c r="J99" s="82">
        <f t="shared" si="1"/>
        <v>0</v>
      </c>
      <c r="K99" s="81"/>
    </row>
    <row r="100" spans="1:11" ht="13.5" customHeight="1" thickBot="1">
      <c r="A100" s="674"/>
      <c r="B100" s="671"/>
      <c r="C100" s="97"/>
      <c r="D100" s="677" t="s">
        <v>166</v>
      </c>
      <c r="E100" s="678"/>
      <c r="F100" s="9" t="s">
        <v>167</v>
      </c>
      <c r="G100" s="252">
        <v>35367656</v>
      </c>
      <c r="H100" s="252">
        <v>35426767</v>
      </c>
      <c r="I100" s="126">
        <f ca="1">'anexa 4 intermediar'!G99</f>
        <v>0</v>
      </c>
      <c r="J100" s="82">
        <f t="shared" si="1"/>
        <v>0</v>
      </c>
      <c r="K100" s="81"/>
    </row>
    <row r="101" spans="1:11" ht="13.5" customHeight="1" thickBot="1">
      <c r="A101" s="673"/>
      <c r="B101" s="670"/>
      <c r="C101" s="670"/>
      <c r="D101" s="664" t="s">
        <v>360</v>
      </c>
      <c r="E101" s="665"/>
      <c r="F101" s="9" t="s">
        <v>361</v>
      </c>
      <c r="G101" s="252"/>
      <c r="H101" s="252"/>
      <c r="I101" s="126">
        <f ca="1">'anexa 4 intermediar'!G100</f>
        <v>0</v>
      </c>
      <c r="J101" s="82" t="e">
        <f t="shared" si="1"/>
        <v>#DIV/0!</v>
      </c>
      <c r="K101" s="81"/>
    </row>
    <row r="102" spans="1:11" ht="13.5" customHeight="1" thickBot="1">
      <c r="A102" s="674"/>
      <c r="B102" s="671"/>
      <c r="C102" s="672"/>
      <c r="D102" s="668" t="s">
        <v>362</v>
      </c>
      <c r="E102" s="669"/>
      <c r="F102" s="9" t="s">
        <v>363</v>
      </c>
      <c r="G102" s="252"/>
      <c r="H102" s="252"/>
      <c r="I102" s="126">
        <f ca="1">'anexa 4 intermediar'!G101</f>
        <v>0</v>
      </c>
      <c r="J102" s="82" t="e">
        <f t="shared" si="1"/>
        <v>#DIV/0!</v>
      </c>
      <c r="K102" s="81"/>
    </row>
    <row r="103" spans="1:11" ht="13.5" customHeight="1" thickBot="1">
      <c r="A103" s="674"/>
      <c r="B103" s="671"/>
      <c r="C103" s="4" t="s">
        <v>197</v>
      </c>
      <c r="D103" s="666" t="s">
        <v>189</v>
      </c>
      <c r="E103" s="667"/>
      <c r="F103" s="9" t="s">
        <v>364</v>
      </c>
      <c r="G103" s="126">
        <f>G104+G107+G108+G109+G110</f>
        <v>2675000</v>
      </c>
      <c r="H103" s="237">
        <f>H104+H107+H108+H109+H110</f>
        <v>2723500</v>
      </c>
      <c r="I103" s="126">
        <f ca="1">'anexa 4 intermediar'!G102</f>
        <v>0</v>
      </c>
      <c r="J103" s="82">
        <f t="shared" si="1"/>
        <v>0</v>
      </c>
      <c r="K103" s="83"/>
    </row>
    <row r="104" spans="1:11" ht="29.25" customHeight="1" thickBot="1">
      <c r="A104" s="674"/>
      <c r="B104" s="671"/>
      <c r="C104" s="4"/>
      <c r="D104" s="664" t="s">
        <v>339</v>
      </c>
      <c r="E104" s="665"/>
      <c r="F104" s="9" t="s">
        <v>365</v>
      </c>
      <c r="G104" s="126">
        <v>700000</v>
      </c>
      <c r="H104" s="237">
        <v>783334</v>
      </c>
      <c r="I104" s="126">
        <f ca="1">'anexa 4 intermediar'!G103</f>
        <v>0</v>
      </c>
      <c r="J104" s="82">
        <f t="shared" si="1"/>
        <v>0</v>
      </c>
      <c r="K104" s="83" t="s">
        <v>758</v>
      </c>
    </row>
    <row r="105" spans="1:11" ht="12.75" customHeight="1" thickBot="1">
      <c r="A105" s="674"/>
      <c r="B105" s="671"/>
      <c r="C105" s="4"/>
      <c r="D105" s="4"/>
      <c r="E105" s="10" t="s">
        <v>366</v>
      </c>
      <c r="F105" s="9" t="s">
        <v>367</v>
      </c>
      <c r="G105" s="126">
        <f>SUM(H105:I105)</f>
        <v>0</v>
      </c>
      <c r="H105" s="237">
        <v>0</v>
      </c>
      <c r="I105" s="126">
        <f ca="1">'anexa 4 intermediar'!G104</f>
        <v>0</v>
      </c>
      <c r="J105" s="82"/>
      <c r="K105" s="81"/>
    </row>
    <row r="106" spans="1:11" ht="26.25" thickBot="1">
      <c r="A106" s="674"/>
      <c r="B106" s="671"/>
      <c r="C106" s="4"/>
      <c r="D106" s="4"/>
      <c r="E106" s="10" t="s">
        <v>516</v>
      </c>
      <c r="F106" s="9" t="s">
        <v>369</v>
      </c>
      <c r="G106" s="252"/>
      <c r="H106" s="252"/>
      <c r="I106" s="126">
        <f ca="1">'anexa 4 intermediar'!G105</f>
        <v>0</v>
      </c>
      <c r="J106" s="82" t="e">
        <f t="shared" si="1"/>
        <v>#DIV/0!</v>
      </c>
      <c r="K106" s="81"/>
    </row>
    <row r="107" spans="1:11" ht="13.5" thickBot="1">
      <c r="A107" s="674"/>
      <c r="B107" s="671"/>
      <c r="C107" s="4"/>
      <c r="D107" s="668" t="s">
        <v>213</v>
      </c>
      <c r="E107" s="669"/>
      <c r="F107" s="9" t="s">
        <v>370</v>
      </c>
      <c r="G107" s="126">
        <v>1975000</v>
      </c>
      <c r="H107" s="237">
        <v>1940166</v>
      </c>
      <c r="I107" s="126">
        <f ca="1">'anexa 4 intermediar'!G106</f>
        <v>0</v>
      </c>
      <c r="J107" s="82">
        <f t="shared" si="1"/>
        <v>0</v>
      </c>
      <c r="K107" s="238">
        <v>642</v>
      </c>
    </row>
    <row r="108" spans="1:11" ht="13.5" customHeight="1" thickBot="1">
      <c r="A108" s="674"/>
      <c r="B108" s="671"/>
      <c r="C108" s="4"/>
      <c r="D108" s="668" t="s">
        <v>517</v>
      </c>
      <c r="E108" s="669"/>
      <c r="F108" s="9" t="s">
        <v>372</v>
      </c>
      <c r="G108" s="126">
        <v>0</v>
      </c>
      <c r="H108" s="237">
        <v>0</v>
      </c>
      <c r="I108" s="126">
        <f ca="1">'anexa 4 intermediar'!G107</f>
        <v>0</v>
      </c>
      <c r="J108" s="82"/>
      <c r="K108" s="81"/>
    </row>
    <row r="109" spans="1:11" ht="13.5" customHeight="1" thickBot="1">
      <c r="A109" s="674"/>
      <c r="B109" s="671"/>
      <c r="C109" s="4"/>
      <c r="D109" s="664" t="s">
        <v>704</v>
      </c>
      <c r="E109" s="665"/>
      <c r="F109" s="9" t="s">
        <v>373</v>
      </c>
      <c r="G109" s="126">
        <v>0</v>
      </c>
      <c r="H109" s="237">
        <v>0</v>
      </c>
      <c r="I109" s="126">
        <f ca="1">'anexa 4 intermediar'!G108</f>
        <v>0</v>
      </c>
      <c r="J109" s="82" t="e">
        <f t="shared" si="1"/>
        <v>#DIV/0!</v>
      </c>
      <c r="K109" s="81"/>
    </row>
    <row r="110" spans="1:11" ht="13.5" customHeight="1" thickBot="1">
      <c r="A110" s="674"/>
      <c r="B110" s="671"/>
      <c r="C110" s="4"/>
      <c r="D110" s="668" t="s">
        <v>374</v>
      </c>
      <c r="E110" s="669"/>
      <c r="F110" s="9" t="s">
        <v>375</v>
      </c>
      <c r="G110" s="252"/>
      <c r="H110" s="252"/>
      <c r="I110" s="126">
        <f ca="1">'anexa 4 intermediar'!G109</f>
        <v>0</v>
      </c>
      <c r="J110" s="82"/>
      <c r="K110" s="81"/>
    </row>
    <row r="111" spans="1:11" ht="13.5" customHeight="1" thickBot="1">
      <c r="A111" s="674"/>
      <c r="B111" s="671"/>
      <c r="C111" s="4" t="s">
        <v>267</v>
      </c>
      <c r="D111" s="666" t="s">
        <v>376</v>
      </c>
      <c r="E111" s="667"/>
      <c r="F111" s="9" t="s">
        <v>377</v>
      </c>
      <c r="G111" s="126">
        <f>G112+G113+G114</f>
        <v>4516400</v>
      </c>
      <c r="H111" s="237">
        <f>H112+H113+H114</f>
        <v>4359585</v>
      </c>
      <c r="I111" s="126">
        <f ca="1">'anexa 4 intermediar'!G110</f>
        <v>0</v>
      </c>
      <c r="J111" s="82"/>
      <c r="K111" s="81"/>
    </row>
    <row r="112" spans="1:11" ht="13.5" customHeight="1" thickBot="1">
      <c r="A112" s="674"/>
      <c r="B112" s="671"/>
      <c r="C112" s="4"/>
      <c r="D112" s="664" t="s">
        <v>378</v>
      </c>
      <c r="E112" s="665"/>
      <c r="F112" s="9" t="s">
        <v>379</v>
      </c>
      <c r="G112" s="126">
        <v>1994400</v>
      </c>
      <c r="H112" s="237">
        <v>1845025</v>
      </c>
      <c r="I112" s="126">
        <f ca="1">'anexa 4 intermediar'!G111</f>
        <v>0</v>
      </c>
      <c r="J112" s="82"/>
      <c r="K112" s="81"/>
    </row>
    <row r="113" spans="1:11" ht="13.5" customHeight="1" thickBot="1">
      <c r="A113" s="674"/>
      <c r="B113" s="671"/>
      <c r="C113" s="4"/>
      <c r="D113" s="664" t="s">
        <v>380</v>
      </c>
      <c r="E113" s="665"/>
      <c r="F113" s="9" t="s">
        <v>381</v>
      </c>
      <c r="G113" s="126">
        <v>2522000</v>
      </c>
      <c r="H113" s="250">
        <v>2514560</v>
      </c>
      <c r="I113" s="126">
        <f ca="1">'anexa 4 intermediar'!G112</f>
        <v>0</v>
      </c>
      <c r="J113" s="82"/>
      <c r="K113" s="81"/>
    </row>
    <row r="114" spans="1:11" ht="13.5" customHeight="1" thickBot="1">
      <c r="A114" s="674"/>
      <c r="B114" s="671"/>
      <c r="C114" s="4"/>
      <c r="D114" s="664" t="s">
        <v>382</v>
      </c>
      <c r="E114" s="665"/>
      <c r="F114" s="9" t="s">
        <v>383</v>
      </c>
      <c r="G114" s="126">
        <v>0</v>
      </c>
      <c r="H114" s="127">
        <v>0</v>
      </c>
      <c r="I114" s="126">
        <f ca="1">'anexa 4 intermediar'!G113</f>
        <v>0</v>
      </c>
      <c r="J114" s="82"/>
      <c r="K114" s="81"/>
    </row>
    <row r="115" spans="1:11" ht="27" customHeight="1" thickBot="1">
      <c r="A115" s="674"/>
      <c r="B115" s="671"/>
      <c r="C115" s="241" t="s">
        <v>188</v>
      </c>
      <c r="D115" s="664" t="s">
        <v>518</v>
      </c>
      <c r="E115" s="665"/>
      <c r="F115" s="9" t="s">
        <v>384</v>
      </c>
      <c r="G115" s="126">
        <f>G116+G117+G118+G119</f>
        <v>318330</v>
      </c>
      <c r="H115" s="237">
        <f>H116+H117+H118+H119</f>
        <v>561656</v>
      </c>
      <c r="I115" s="126">
        <f ca="1">'anexa 4 intermediar'!G114</f>
        <v>0</v>
      </c>
      <c r="J115" s="82">
        <f t="shared" si="1"/>
        <v>0</v>
      </c>
      <c r="K115" s="81"/>
    </row>
    <row r="116" spans="1:11" ht="13.5" customHeight="1" thickBot="1">
      <c r="A116" s="674"/>
      <c r="B116" s="671"/>
      <c r="C116" s="565"/>
      <c r="D116" s="668" t="s">
        <v>519</v>
      </c>
      <c r="E116" s="669"/>
      <c r="F116" s="9" t="s">
        <v>385</v>
      </c>
      <c r="G116" s="245">
        <f>120000</f>
        <v>120000</v>
      </c>
      <c r="H116" s="245">
        <v>362941</v>
      </c>
      <c r="I116" s="126">
        <f ca="1">'anexa 4 intermediar'!G115</f>
        <v>0</v>
      </c>
      <c r="J116" s="82">
        <f t="shared" si="1"/>
        <v>0</v>
      </c>
      <c r="K116" s="81" t="s">
        <v>763</v>
      </c>
    </row>
    <row r="117" spans="1:11" ht="13.5" customHeight="1" thickBot="1">
      <c r="A117" s="674"/>
      <c r="B117" s="671"/>
      <c r="C117" s="620"/>
      <c r="D117" s="666" t="s">
        <v>705</v>
      </c>
      <c r="E117" s="667"/>
      <c r="F117" s="9" t="s">
        <v>387</v>
      </c>
      <c r="G117" s="126">
        <v>198330</v>
      </c>
      <c r="H117" s="237">
        <v>198715</v>
      </c>
      <c r="I117" s="126">
        <f ca="1">'anexa 4 intermediar'!G116</f>
        <v>0</v>
      </c>
      <c r="J117" s="82">
        <f t="shared" si="1"/>
        <v>0</v>
      </c>
      <c r="K117" s="81"/>
    </row>
    <row r="118" spans="1:11" ht="13.5" customHeight="1" thickBot="1">
      <c r="A118" s="674"/>
      <c r="B118" s="671"/>
      <c r="C118" s="620"/>
      <c r="D118" s="668" t="s">
        <v>388</v>
      </c>
      <c r="E118" s="669"/>
      <c r="F118" s="9" t="s">
        <v>389</v>
      </c>
      <c r="G118" s="126">
        <v>0</v>
      </c>
      <c r="H118" s="237">
        <v>0</v>
      </c>
      <c r="I118" s="126">
        <f ca="1">'anexa 4 intermediar'!G117</f>
        <v>0</v>
      </c>
      <c r="J118" s="82"/>
      <c r="K118" s="239"/>
    </row>
    <row r="119" spans="1:11" ht="13.5" customHeight="1" thickBot="1">
      <c r="A119" s="674"/>
      <c r="B119" s="671"/>
      <c r="C119" s="566"/>
      <c r="D119" s="666" t="s">
        <v>390</v>
      </c>
      <c r="E119" s="667"/>
      <c r="F119" s="9" t="s">
        <v>391</v>
      </c>
      <c r="G119" s="126">
        <v>0</v>
      </c>
      <c r="H119" s="237">
        <v>0</v>
      </c>
      <c r="I119" s="126">
        <f ca="1">'anexa 4 intermediar'!G118</f>
        <v>0</v>
      </c>
      <c r="J119" s="82"/>
      <c r="K119" s="239"/>
    </row>
    <row r="120" spans="1:11" ht="48.75" customHeight="1" thickBot="1">
      <c r="A120" s="674"/>
      <c r="B120" s="671"/>
      <c r="C120" s="4" t="s">
        <v>198</v>
      </c>
      <c r="D120" s="666" t="s">
        <v>520</v>
      </c>
      <c r="E120" s="667"/>
      <c r="F120" s="9" t="s">
        <v>393</v>
      </c>
      <c r="G120" s="126">
        <f>G121+G122+G123+G124+G125+G126</f>
        <v>11431930</v>
      </c>
      <c r="H120" s="237">
        <f>H121+H122+H123+H124+H125+H126</f>
        <v>11368049</v>
      </c>
      <c r="I120" s="126">
        <f ca="1">'anexa 4 intermediar'!G119</f>
        <v>0</v>
      </c>
      <c r="J120" s="82">
        <f t="shared" si="1"/>
        <v>0</v>
      </c>
      <c r="K120" s="239"/>
    </row>
    <row r="121" spans="1:11" ht="13.5" thickBot="1">
      <c r="A121" s="674"/>
      <c r="B121" s="671"/>
      <c r="C121" s="670"/>
      <c r="D121" s="666" t="s">
        <v>394</v>
      </c>
      <c r="E121" s="667"/>
      <c r="F121" s="9" t="s">
        <v>395</v>
      </c>
      <c r="G121" s="126">
        <v>8768250</v>
      </c>
      <c r="H121" s="237">
        <v>8738588</v>
      </c>
      <c r="I121" s="126">
        <f ca="1">'anexa 4 intermediar'!G120</f>
        <v>0</v>
      </c>
      <c r="J121" s="82">
        <f t="shared" si="1"/>
        <v>0</v>
      </c>
      <c r="K121" s="238" t="s">
        <v>752</v>
      </c>
    </row>
    <row r="122" spans="1:11" ht="13.5" thickBot="1">
      <c r="A122" s="674"/>
      <c r="B122" s="671"/>
      <c r="C122" s="671"/>
      <c r="D122" s="666" t="s">
        <v>521</v>
      </c>
      <c r="E122" s="667"/>
      <c r="F122" s="9" t="s">
        <v>397</v>
      </c>
      <c r="G122" s="126">
        <v>303750</v>
      </c>
      <c r="H122" s="237">
        <v>298678</v>
      </c>
      <c r="I122" s="126">
        <f ca="1">'anexa 4 intermediar'!G121</f>
        <v>0</v>
      </c>
      <c r="J122" s="82">
        <f t="shared" si="1"/>
        <v>0</v>
      </c>
      <c r="K122" s="238">
        <v>6452</v>
      </c>
    </row>
    <row r="123" spans="1:11" ht="13.5" customHeight="1" thickBot="1">
      <c r="A123" s="674"/>
      <c r="B123" s="671"/>
      <c r="C123" s="671"/>
      <c r="D123" s="666" t="s">
        <v>398</v>
      </c>
      <c r="E123" s="667"/>
      <c r="F123" s="9">
        <v>112</v>
      </c>
      <c r="G123" s="126">
        <v>2106000</v>
      </c>
      <c r="H123" s="237">
        <v>2098095</v>
      </c>
      <c r="I123" s="126">
        <f ca="1">'anexa 4 intermediar'!G122</f>
        <v>0</v>
      </c>
      <c r="J123" s="82">
        <f t="shared" si="1"/>
        <v>0</v>
      </c>
      <c r="K123" s="238">
        <v>6453</v>
      </c>
    </row>
    <row r="124" spans="1:11" ht="13.5" customHeight="1" thickBot="1">
      <c r="A124" s="674"/>
      <c r="B124" s="671"/>
      <c r="C124" s="671"/>
      <c r="D124" s="664" t="s">
        <v>400</v>
      </c>
      <c r="E124" s="665"/>
      <c r="F124" s="9" t="s">
        <v>401</v>
      </c>
      <c r="G124" s="126">
        <v>253930</v>
      </c>
      <c r="H124" s="237">
        <v>232688</v>
      </c>
      <c r="I124" s="126">
        <f ca="1">'anexa 4 intermediar'!G123</f>
        <v>0</v>
      </c>
      <c r="J124" s="82">
        <f t="shared" si="1"/>
        <v>0</v>
      </c>
      <c r="K124" s="238" t="s">
        <v>753</v>
      </c>
    </row>
    <row r="125" spans="1:11" ht="15.75" customHeight="1" thickBot="1">
      <c r="A125" s="673"/>
      <c r="B125" s="670"/>
      <c r="C125" s="670"/>
      <c r="D125" s="666" t="s">
        <v>706</v>
      </c>
      <c r="E125" s="667"/>
      <c r="F125" s="9" t="s">
        <v>403</v>
      </c>
      <c r="G125" s="126">
        <v>0</v>
      </c>
      <c r="H125" s="237">
        <v>0</v>
      </c>
      <c r="I125" s="126">
        <f ca="1">'anexa 4 intermediar'!G124</f>
        <v>0</v>
      </c>
      <c r="J125" s="82"/>
      <c r="K125" s="238"/>
    </row>
    <row r="126" spans="1:11" ht="13.5" thickBot="1">
      <c r="A126" s="674"/>
      <c r="B126" s="671"/>
      <c r="C126" s="672"/>
      <c r="D126" s="666" t="s">
        <v>522</v>
      </c>
      <c r="E126" s="667"/>
      <c r="F126" s="9" t="s">
        <v>405</v>
      </c>
      <c r="G126" s="126">
        <v>0</v>
      </c>
      <c r="H126" s="237">
        <v>0</v>
      </c>
      <c r="I126" s="126">
        <f ca="1">'anexa 4 intermediar'!G125</f>
        <v>0</v>
      </c>
      <c r="J126" s="82"/>
      <c r="K126" s="238"/>
    </row>
    <row r="127" spans="1:11" ht="42" customHeight="1" thickBot="1">
      <c r="A127" s="674"/>
      <c r="B127" s="671"/>
      <c r="C127" s="679" t="s">
        <v>523</v>
      </c>
      <c r="D127" s="680"/>
      <c r="E127" s="681"/>
      <c r="F127" s="16" t="s">
        <v>407</v>
      </c>
      <c r="G127" s="125">
        <f>G128+G131+G132+G133+G134+G135</f>
        <v>11143048</v>
      </c>
      <c r="H127" s="244">
        <f>H128+H131+H132+H133+H134+H135</f>
        <v>16159745</v>
      </c>
      <c r="I127" s="125">
        <f ca="1">'anexa 4 intermediar'!G126</f>
        <v>0</v>
      </c>
      <c r="J127" s="80">
        <f t="shared" si="1"/>
        <v>0</v>
      </c>
      <c r="K127" s="238"/>
    </row>
    <row r="128" spans="1:11" ht="15.75" customHeight="1" thickBot="1">
      <c r="A128" s="674"/>
      <c r="B128" s="671"/>
      <c r="C128" s="4" t="s">
        <v>93</v>
      </c>
      <c r="D128" s="666" t="s">
        <v>524</v>
      </c>
      <c r="E128" s="667"/>
      <c r="F128" s="9" t="s">
        <v>409</v>
      </c>
      <c r="G128" s="126">
        <f>SUM(G129:G130)</f>
        <v>0</v>
      </c>
      <c r="H128" s="237">
        <f>SUM(H129:H130)</f>
        <v>10354177</v>
      </c>
      <c r="I128" s="126">
        <f ca="1">'anexa 4 intermediar'!G127</f>
        <v>0</v>
      </c>
      <c r="J128" s="82">
        <f t="shared" si="1"/>
        <v>0</v>
      </c>
      <c r="K128" s="238" t="s">
        <v>754</v>
      </c>
    </row>
    <row r="129" spans="1:15" ht="15.75" customHeight="1" thickBot="1">
      <c r="A129" s="674"/>
      <c r="B129" s="671"/>
      <c r="C129" s="4"/>
      <c r="D129" s="677" t="s">
        <v>525</v>
      </c>
      <c r="E129" s="678"/>
      <c r="F129" s="9" t="s">
        <v>411</v>
      </c>
      <c r="G129" s="126">
        <v>0</v>
      </c>
      <c r="H129" s="237">
        <v>7012245</v>
      </c>
      <c r="I129" s="126">
        <f ca="1">'anexa 4 intermediar'!G128</f>
        <v>0</v>
      </c>
      <c r="J129" s="82">
        <f t="shared" si="1"/>
        <v>0</v>
      </c>
      <c r="K129" s="238" t="s">
        <v>755</v>
      </c>
    </row>
    <row r="130" spans="1:15" ht="13.5" thickBot="1">
      <c r="A130" s="674"/>
      <c r="B130" s="671"/>
      <c r="C130" s="4"/>
      <c r="D130" s="699" t="s">
        <v>526</v>
      </c>
      <c r="E130" s="700"/>
      <c r="F130" s="9" t="s">
        <v>413</v>
      </c>
      <c r="G130" s="126">
        <v>0</v>
      </c>
      <c r="H130" s="237">
        <v>3341932</v>
      </c>
      <c r="I130" s="126">
        <f ca="1">'anexa 4 intermediar'!G129</f>
        <v>0</v>
      </c>
      <c r="J130" s="82">
        <f t="shared" si="1"/>
        <v>0</v>
      </c>
      <c r="K130" s="238" t="s">
        <v>756</v>
      </c>
    </row>
    <row r="131" spans="1:15" ht="13.5" thickBot="1">
      <c r="A131" s="674"/>
      <c r="B131" s="671"/>
      <c r="C131" s="4" t="s">
        <v>149</v>
      </c>
      <c r="D131" s="677" t="s">
        <v>414</v>
      </c>
      <c r="E131" s="678"/>
      <c r="F131" s="9" t="s">
        <v>415</v>
      </c>
      <c r="G131" s="126">
        <v>0</v>
      </c>
      <c r="H131" s="237">
        <v>0</v>
      </c>
      <c r="I131" s="126">
        <f ca="1">'anexa 4 intermediar'!G130</f>
        <v>0</v>
      </c>
      <c r="J131" s="82" t="e">
        <f t="shared" si="1"/>
        <v>#DIV/0!</v>
      </c>
      <c r="K131" s="238"/>
    </row>
    <row r="132" spans="1:15" ht="15.75" customHeight="1" thickBot="1">
      <c r="A132" s="674"/>
      <c r="B132" s="671"/>
      <c r="C132" s="4" t="s">
        <v>152</v>
      </c>
      <c r="D132" s="666" t="s">
        <v>527</v>
      </c>
      <c r="E132" s="667"/>
      <c r="F132" s="9" t="s">
        <v>528</v>
      </c>
      <c r="G132" s="126">
        <v>0</v>
      </c>
      <c r="H132" s="237">
        <v>0</v>
      </c>
      <c r="I132" s="126">
        <f ca="1">'anexa 4 intermediar'!G131</f>
        <v>0</v>
      </c>
      <c r="J132" s="82" t="e">
        <f t="shared" si="1"/>
        <v>#DIV/0!</v>
      </c>
      <c r="K132" s="238"/>
    </row>
    <row r="133" spans="1:15" ht="15.75" customHeight="1" thickBot="1">
      <c r="A133" s="674"/>
      <c r="B133" s="671"/>
      <c r="C133" s="4" t="s">
        <v>155</v>
      </c>
      <c r="D133" s="677" t="s">
        <v>296</v>
      </c>
      <c r="E133" s="678"/>
      <c r="F133" s="9" t="s">
        <v>529</v>
      </c>
      <c r="G133" s="126">
        <f>367034-93000</f>
        <v>274034</v>
      </c>
      <c r="H133" s="237">
        <v>363304</v>
      </c>
      <c r="I133" s="126">
        <f ca="1">'anexa 4 intermediar'!G132</f>
        <v>0</v>
      </c>
      <c r="J133" s="82">
        <f t="shared" si="1"/>
        <v>0</v>
      </c>
      <c r="K133" s="238" t="s">
        <v>759</v>
      </c>
      <c r="O133" s="1" t="s">
        <v>764</v>
      </c>
    </row>
    <row r="134" spans="1:15" ht="15.75" customHeight="1" thickBot="1">
      <c r="A134" s="674"/>
      <c r="B134" s="671"/>
      <c r="C134" s="4" t="s">
        <v>94</v>
      </c>
      <c r="D134" s="666" t="s">
        <v>530</v>
      </c>
      <c r="E134" s="667"/>
      <c r="F134" s="9" t="s">
        <v>531</v>
      </c>
      <c r="G134" s="126">
        <v>10869014</v>
      </c>
      <c r="H134" s="237">
        <v>11801602</v>
      </c>
      <c r="I134" s="126">
        <f ca="1">'anexa 4 intermediar'!G133</f>
        <v>0</v>
      </c>
      <c r="J134" s="82">
        <f t="shared" si="1"/>
        <v>0</v>
      </c>
      <c r="K134" s="238"/>
    </row>
    <row r="135" spans="1:15" ht="33.75" customHeight="1" thickBot="1">
      <c r="A135" s="674"/>
      <c r="B135" s="672"/>
      <c r="C135" s="4" t="s">
        <v>105</v>
      </c>
      <c r="D135" s="666" t="s">
        <v>532</v>
      </c>
      <c r="E135" s="667"/>
      <c r="F135" s="9" t="s">
        <v>533</v>
      </c>
      <c r="G135" s="126">
        <f>G136-G137</f>
        <v>0</v>
      </c>
      <c r="H135" s="237">
        <f>H136-H137</f>
        <v>-6359338</v>
      </c>
      <c r="I135" s="126">
        <f ca="1">'anexa 4 intermediar'!G134</f>
        <v>0</v>
      </c>
      <c r="J135" s="82">
        <f t="shared" si="1"/>
        <v>0</v>
      </c>
      <c r="K135" s="238"/>
    </row>
    <row r="136" spans="1:15" ht="15.75" customHeight="1" thickBot="1">
      <c r="A136" s="674"/>
      <c r="B136" s="4"/>
      <c r="C136" s="4"/>
      <c r="D136" s="4" t="s">
        <v>174</v>
      </c>
      <c r="E136" s="10" t="s">
        <v>534</v>
      </c>
      <c r="F136" s="9" t="s">
        <v>535</v>
      </c>
      <c r="G136" s="126">
        <v>0</v>
      </c>
      <c r="H136" s="248">
        <v>5592</v>
      </c>
      <c r="I136" s="126">
        <f ca="1">'anexa 4 intermediar'!G135</f>
        <v>0</v>
      </c>
      <c r="J136" s="82">
        <f t="shared" si="1"/>
        <v>0</v>
      </c>
      <c r="K136" s="238"/>
    </row>
    <row r="137" spans="1:15" ht="26.25" thickBot="1">
      <c r="A137" s="674"/>
      <c r="B137" s="4"/>
      <c r="C137" s="4"/>
      <c r="D137" s="139" t="s">
        <v>175</v>
      </c>
      <c r="E137" s="19" t="s">
        <v>536</v>
      </c>
      <c r="F137" s="9" t="s">
        <v>537</v>
      </c>
      <c r="G137" s="126">
        <f>G138</f>
        <v>0</v>
      </c>
      <c r="H137" s="248">
        <f>(6348149+16781)</f>
        <v>6364930</v>
      </c>
      <c r="I137" s="126">
        <f ca="1">'anexa 4 intermediar'!G136</f>
        <v>0</v>
      </c>
      <c r="J137" s="82">
        <f t="shared" si="1"/>
        <v>0</v>
      </c>
      <c r="K137" s="238"/>
    </row>
    <row r="138" spans="1:15" ht="26.25" thickBot="1">
      <c r="A138" s="674"/>
      <c r="B138" s="4"/>
      <c r="C138" s="4"/>
      <c r="D138" s="4" t="s">
        <v>190</v>
      </c>
      <c r="E138" s="10" t="s">
        <v>538</v>
      </c>
      <c r="F138" s="9" t="s">
        <v>539</v>
      </c>
      <c r="G138" s="126">
        <f>SUM(G139:G140)</f>
        <v>0</v>
      </c>
      <c r="H138" s="237">
        <v>6364930</v>
      </c>
      <c r="I138" s="126">
        <f ca="1">'anexa 4 intermediar'!G137</f>
        <v>0</v>
      </c>
      <c r="J138" s="82">
        <f t="shared" si="1"/>
        <v>0</v>
      </c>
      <c r="K138" s="238"/>
    </row>
    <row r="139" spans="1:15" ht="13.5" thickBot="1">
      <c r="A139" s="674"/>
      <c r="B139" s="4"/>
      <c r="C139" s="4"/>
      <c r="D139" s="4"/>
      <c r="E139" s="10" t="s">
        <v>540</v>
      </c>
      <c r="F139" s="9" t="s">
        <v>541</v>
      </c>
      <c r="G139" s="126">
        <v>0</v>
      </c>
      <c r="H139" s="237">
        <v>0</v>
      </c>
      <c r="I139" s="126">
        <f ca="1">'anexa 4 intermediar'!G138</f>
        <v>0</v>
      </c>
      <c r="J139" s="82" t="e">
        <f t="shared" si="1"/>
        <v>#DIV/0!</v>
      </c>
      <c r="K139" s="238"/>
    </row>
    <row r="140" spans="1:15" ht="26.25" thickBot="1">
      <c r="A140" s="674"/>
      <c r="B140" s="4"/>
      <c r="C140" s="4"/>
      <c r="D140" s="4"/>
      <c r="E140" s="10" t="s">
        <v>542</v>
      </c>
      <c r="F140" s="9" t="s">
        <v>543</v>
      </c>
      <c r="G140" s="127">
        <v>0</v>
      </c>
      <c r="H140" s="237"/>
      <c r="I140" s="126">
        <f ca="1">'anexa 4 intermediar'!G139</f>
        <v>0</v>
      </c>
      <c r="J140" s="82" t="e">
        <f t="shared" si="1"/>
        <v>#DIV/0!</v>
      </c>
      <c r="K140" s="238"/>
    </row>
    <row r="141" spans="1:15" ht="13.5" thickBot="1">
      <c r="A141" s="674"/>
      <c r="B141" s="4"/>
      <c r="C141" s="4"/>
      <c r="D141" s="4"/>
      <c r="E141" s="20" t="s">
        <v>544</v>
      </c>
      <c r="F141" s="9" t="s">
        <v>545</v>
      </c>
      <c r="G141" s="126">
        <v>0</v>
      </c>
      <c r="H141" s="237"/>
      <c r="I141" s="126">
        <f ca="1">'anexa 4 intermediar'!G140</f>
        <v>0</v>
      </c>
      <c r="J141" s="82"/>
      <c r="K141" s="238"/>
    </row>
    <row r="142" spans="1:15" ht="15.75" customHeight="1" thickBot="1">
      <c r="A142" s="674"/>
      <c r="B142" s="17" t="s">
        <v>71</v>
      </c>
      <c r="C142" s="17"/>
      <c r="D142" s="679" t="s">
        <v>546</v>
      </c>
      <c r="E142" s="681"/>
      <c r="F142" s="16" t="s">
        <v>547</v>
      </c>
      <c r="G142" s="125">
        <f>G143+G146+G149</f>
        <v>9000000</v>
      </c>
      <c r="H142" s="244">
        <f>H143+H146+H149</f>
        <v>6919018</v>
      </c>
      <c r="I142" s="125">
        <f ca="1">'anexa 4 intermediar'!G141</f>
        <v>0</v>
      </c>
      <c r="J142" s="80">
        <f t="shared" ref="J142:J163" si="2">I142/H142</f>
        <v>0</v>
      </c>
      <c r="K142" s="238"/>
    </row>
    <row r="143" spans="1:15" ht="15.75" customHeight="1" thickBot="1">
      <c r="A143" s="674"/>
      <c r="B143" s="670"/>
      <c r="C143" s="4" t="s">
        <v>93</v>
      </c>
      <c r="D143" s="666" t="s">
        <v>548</v>
      </c>
      <c r="E143" s="667"/>
      <c r="F143" s="9" t="s">
        <v>549</v>
      </c>
      <c r="G143" s="126">
        <f>G144+G145</f>
        <v>9000000</v>
      </c>
      <c r="H143" s="237">
        <v>6868985</v>
      </c>
      <c r="I143" s="126">
        <f ca="1">'anexa 4 intermediar'!G142</f>
        <v>0</v>
      </c>
      <c r="J143" s="82">
        <f t="shared" si="2"/>
        <v>0</v>
      </c>
      <c r="K143" s="238">
        <v>666</v>
      </c>
    </row>
    <row r="144" spans="1:15" ht="13.5" thickBot="1">
      <c r="A144" s="674"/>
      <c r="B144" s="671"/>
      <c r="C144" s="4"/>
      <c r="D144" s="4" t="s">
        <v>454</v>
      </c>
      <c r="E144" s="20" t="s">
        <v>550</v>
      </c>
      <c r="F144" s="9" t="s">
        <v>551</v>
      </c>
      <c r="G144" s="126">
        <v>0</v>
      </c>
      <c r="H144" s="237">
        <v>56444</v>
      </c>
      <c r="I144" s="126">
        <f ca="1">'anexa 4 intermediar'!G143</f>
        <v>0</v>
      </c>
      <c r="J144" s="82">
        <f t="shared" si="2"/>
        <v>0</v>
      </c>
      <c r="K144" s="238"/>
    </row>
    <row r="145" spans="1:11" ht="13.5" thickBot="1">
      <c r="A145" s="674"/>
      <c r="B145" s="671"/>
      <c r="C145" s="4"/>
      <c r="D145" s="139" t="s">
        <v>191</v>
      </c>
      <c r="E145" s="10" t="s">
        <v>552</v>
      </c>
      <c r="F145" s="9" t="s">
        <v>553</v>
      </c>
      <c r="G145" s="126">
        <v>9000000</v>
      </c>
      <c r="H145" s="237">
        <v>6812541</v>
      </c>
      <c r="I145" s="126">
        <f ca="1">'anexa 4 intermediar'!G144</f>
        <v>0</v>
      </c>
      <c r="J145" s="82"/>
      <c r="K145" s="238"/>
    </row>
    <row r="146" spans="1:11" ht="31.5" customHeight="1" thickBot="1">
      <c r="A146" s="674"/>
      <c r="B146" s="671"/>
      <c r="C146" s="4" t="s">
        <v>149</v>
      </c>
      <c r="D146" s="666" t="s">
        <v>554</v>
      </c>
      <c r="E146" s="667"/>
      <c r="F146" s="9" t="s">
        <v>555</v>
      </c>
      <c r="G146" s="126">
        <f>G147+G148</f>
        <v>0</v>
      </c>
      <c r="H146" s="237">
        <v>50033</v>
      </c>
      <c r="I146" s="126">
        <f ca="1">'anexa 4 intermediar'!G145</f>
        <v>0</v>
      </c>
      <c r="J146" s="82">
        <f t="shared" si="2"/>
        <v>0</v>
      </c>
      <c r="K146" s="238">
        <v>665</v>
      </c>
    </row>
    <row r="147" spans="1:11" ht="15.75" customHeight="1" thickBot="1">
      <c r="A147" s="674"/>
      <c r="B147" s="671"/>
      <c r="C147" s="4"/>
      <c r="D147" s="4" t="s">
        <v>215</v>
      </c>
      <c r="E147" s="20" t="s">
        <v>550</v>
      </c>
      <c r="F147" s="124" t="s">
        <v>556</v>
      </c>
      <c r="G147" s="127">
        <v>0</v>
      </c>
      <c r="H147" s="237">
        <v>0</v>
      </c>
      <c r="I147" s="126">
        <f ca="1">'anexa 4 intermediar'!G146</f>
        <v>0</v>
      </c>
      <c r="J147" s="82" t="e">
        <f t="shared" si="2"/>
        <v>#DIV/0!</v>
      </c>
      <c r="K147" s="238"/>
    </row>
    <row r="148" spans="1:11" ht="13.5" thickBot="1">
      <c r="A148" s="674"/>
      <c r="B148" s="671"/>
      <c r="C148" s="4"/>
      <c r="D148" s="4" t="s">
        <v>239</v>
      </c>
      <c r="E148" s="10" t="s">
        <v>552</v>
      </c>
      <c r="F148" s="9" t="s">
        <v>557</v>
      </c>
      <c r="G148" s="126">
        <v>0</v>
      </c>
      <c r="H148" s="237">
        <v>50033</v>
      </c>
      <c r="I148" s="126">
        <f ca="1">'anexa 4 intermediar'!G147</f>
        <v>0</v>
      </c>
      <c r="J148" s="82"/>
      <c r="K148" s="238"/>
    </row>
    <row r="149" spans="1:11" ht="13.5" thickBot="1">
      <c r="A149" s="674"/>
      <c r="B149" s="672"/>
      <c r="C149" s="4" t="s">
        <v>152</v>
      </c>
      <c r="D149" s="677" t="s">
        <v>558</v>
      </c>
      <c r="E149" s="678"/>
      <c r="F149" s="9" t="s">
        <v>559</v>
      </c>
      <c r="G149" s="126">
        <v>0</v>
      </c>
      <c r="H149" s="237">
        <v>0</v>
      </c>
      <c r="I149" s="126">
        <f ca="1">'anexa 4 intermediar'!G148</f>
        <v>0</v>
      </c>
      <c r="J149" s="82" t="e">
        <f t="shared" si="2"/>
        <v>#DIV/0!</v>
      </c>
      <c r="K149" s="238"/>
    </row>
    <row r="150" spans="1:11" ht="13.5" thickBot="1">
      <c r="A150" s="701"/>
      <c r="B150" s="17" t="s">
        <v>65</v>
      </c>
      <c r="C150" s="17"/>
      <c r="D150" s="692" t="s">
        <v>273</v>
      </c>
      <c r="E150" s="694"/>
      <c r="F150" s="16" t="s">
        <v>560</v>
      </c>
      <c r="G150" s="125">
        <v>0</v>
      </c>
      <c r="H150" s="244"/>
      <c r="I150" s="125">
        <f ca="1">'anexa 4 intermediar'!G149</f>
        <v>0</v>
      </c>
      <c r="J150" s="80"/>
      <c r="K150" s="240"/>
    </row>
    <row r="151" spans="1:11" ht="13.5" thickBot="1">
      <c r="A151" s="9" t="s">
        <v>274</v>
      </c>
      <c r="B151" s="4"/>
      <c r="C151" s="4"/>
      <c r="D151" s="679" t="s">
        <v>561</v>
      </c>
      <c r="E151" s="681"/>
      <c r="F151" s="16" t="s">
        <v>562</v>
      </c>
      <c r="G151" s="125">
        <f>G12-G41</f>
        <v>129030</v>
      </c>
      <c r="H151" s="244">
        <f>H12-H41</f>
        <v>-31809746</v>
      </c>
      <c r="I151" s="125">
        <f ca="1">'anexa 4 intermediar'!G150</f>
        <v>0</v>
      </c>
      <c r="J151" s="80">
        <f t="shared" si="2"/>
        <v>0</v>
      </c>
      <c r="K151" s="240"/>
    </row>
    <row r="152" spans="1:11" ht="18.75" customHeight="1" thickBot="1">
      <c r="A152" s="9"/>
      <c r="B152" s="4"/>
      <c r="C152" s="4"/>
      <c r="D152" s="4"/>
      <c r="E152" s="20" t="s">
        <v>563</v>
      </c>
      <c r="F152" s="9" t="s">
        <v>564</v>
      </c>
      <c r="G152" s="126"/>
      <c r="H152" s="237"/>
      <c r="I152" s="126">
        <f ca="1">'anexa 4 intermediar'!G151</f>
        <v>0</v>
      </c>
      <c r="J152" s="82" t="e">
        <f t="shared" si="2"/>
        <v>#DIV/0!</v>
      </c>
      <c r="K152" s="238"/>
    </row>
    <row r="153" spans="1:11" ht="18.75" customHeight="1" thickBot="1">
      <c r="A153" s="9" t="s">
        <v>276</v>
      </c>
      <c r="B153" s="4"/>
      <c r="C153" s="4"/>
      <c r="D153" s="677" t="s">
        <v>277</v>
      </c>
      <c r="E153" s="678"/>
      <c r="F153" s="9" t="s">
        <v>565</v>
      </c>
      <c r="G153" s="126"/>
      <c r="H153" s="237"/>
      <c r="I153" s="126">
        <f ca="1">'anexa 4 intermediar'!G152</f>
        <v>0</v>
      </c>
      <c r="J153" s="82" t="e">
        <f t="shared" si="2"/>
        <v>#DIV/0!</v>
      </c>
      <c r="K153" s="238"/>
    </row>
    <row r="154" spans="1:11" ht="17.25" customHeight="1" thickBot="1">
      <c r="A154" s="9" t="s">
        <v>278</v>
      </c>
      <c r="B154" s="4"/>
      <c r="C154" s="4"/>
      <c r="D154" s="677" t="s">
        <v>302</v>
      </c>
      <c r="E154" s="678"/>
      <c r="F154" s="9" t="s">
        <v>566</v>
      </c>
      <c r="G154" s="126"/>
      <c r="H154" s="237"/>
      <c r="I154" s="126"/>
      <c r="J154" s="82"/>
      <c r="K154" s="238"/>
    </row>
    <row r="155" spans="1:11" ht="17.25" customHeight="1" thickBot="1">
      <c r="A155" s="673"/>
      <c r="B155" s="4" t="s">
        <v>3</v>
      </c>
      <c r="C155" s="4"/>
      <c r="D155" s="677" t="s">
        <v>567</v>
      </c>
      <c r="E155" s="678"/>
      <c r="F155" s="9" t="s">
        <v>568</v>
      </c>
      <c r="G155" s="126"/>
      <c r="H155" s="237"/>
      <c r="I155" s="126"/>
      <c r="J155" s="82" t="e">
        <f t="shared" si="2"/>
        <v>#DIV/0!</v>
      </c>
      <c r="K155" s="238"/>
    </row>
    <row r="156" spans="1:11" ht="16.5" customHeight="1" thickBot="1">
      <c r="A156" s="674"/>
      <c r="B156" s="4" t="s">
        <v>71</v>
      </c>
      <c r="C156" s="4"/>
      <c r="D156" s="677" t="s">
        <v>569</v>
      </c>
      <c r="E156" s="678"/>
      <c r="F156" s="9" t="s">
        <v>570</v>
      </c>
      <c r="G156" s="126">
        <v>931</v>
      </c>
      <c r="H156" s="237">
        <v>974</v>
      </c>
      <c r="I156" s="126"/>
      <c r="J156" s="82">
        <f t="shared" si="2"/>
        <v>0</v>
      </c>
      <c r="K156" s="238"/>
    </row>
    <row r="157" spans="1:11" s="28" customFormat="1" ht="33.75" customHeight="1" thickBot="1">
      <c r="A157" s="26"/>
      <c r="B157" s="27" t="s">
        <v>65</v>
      </c>
      <c r="C157" s="27" t="s">
        <v>93</v>
      </c>
      <c r="D157" s="697" t="s">
        <v>774</v>
      </c>
      <c r="E157" s="698"/>
      <c r="F157" s="30" t="s">
        <v>571</v>
      </c>
      <c r="G157" s="126">
        <f>((G100/G156)/12)</f>
        <v>3165.7407805227353</v>
      </c>
      <c r="H157" s="237">
        <f>((H100/H156)/12)</f>
        <v>3031.0375598904861</v>
      </c>
      <c r="I157" s="126" t="e">
        <f>((I100/I156)/12)*1000</f>
        <v>#DIV/0!</v>
      </c>
      <c r="J157" s="82" t="e">
        <f t="shared" si="2"/>
        <v>#DIV/0!</v>
      </c>
      <c r="K157" s="247"/>
    </row>
    <row r="158" spans="1:11" s="28" customFormat="1" ht="45" customHeight="1" thickBot="1">
      <c r="A158" s="29"/>
      <c r="B158" s="27"/>
      <c r="C158" s="27" t="s">
        <v>149</v>
      </c>
      <c r="D158" s="697" t="s">
        <v>776</v>
      </c>
      <c r="E158" s="698"/>
      <c r="F158" s="30" t="s">
        <v>572</v>
      </c>
      <c r="G158" s="126">
        <f>(G99/G156/12)</f>
        <v>3192.3800572860723</v>
      </c>
      <c r="H158" s="237">
        <f>(H99/H156/12)</f>
        <v>3031.0375598904861</v>
      </c>
      <c r="I158" s="126" t="e">
        <f>(I99/I156/12)*1000</f>
        <v>#DIV/0!</v>
      </c>
      <c r="J158" s="82" t="e">
        <f t="shared" si="2"/>
        <v>#DIV/0!</v>
      </c>
      <c r="K158" s="247"/>
    </row>
    <row r="159" spans="1:11" s="28" customFormat="1" ht="40.5" customHeight="1" thickBot="1">
      <c r="A159" s="29"/>
      <c r="B159" s="27"/>
      <c r="C159" s="27" t="s">
        <v>152</v>
      </c>
      <c r="D159" s="697" t="s">
        <v>775</v>
      </c>
      <c r="E159" s="698"/>
      <c r="F159" s="30" t="s">
        <v>573</v>
      </c>
      <c r="G159" s="126">
        <f>((G99+G103)/G156)/12</f>
        <v>3431.8179377013962</v>
      </c>
      <c r="H159" s="237">
        <f>((H99+H103)/H156)/12</f>
        <v>3264.054329226557</v>
      </c>
      <c r="I159" s="126" t="e">
        <f>((I99+I103)/I156)/12*1000</f>
        <v>#DIV/0!</v>
      </c>
      <c r="J159" s="82" t="e">
        <f t="shared" si="2"/>
        <v>#DIV/0!</v>
      </c>
      <c r="K159" s="247"/>
    </row>
    <row r="160" spans="1:11" s="28" customFormat="1" ht="34.5" customHeight="1" thickBot="1">
      <c r="A160" s="29"/>
      <c r="B160" s="27" t="s">
        <v>66</v>
      </c>
      <c r="C160" s="27" t="s">
        <v>93</v>
      </c>
      <c r="D160" s="697" t="s">
        <v>574</v>
      </c>
      <c r="E160" s="698"/>
      <c r="F160" s="30" t="s">
        <v>575</v>
      </c>
      <c r="G160" s="126">
        <f>G12/G156</f>
        <v>229247.06659505906</v>
      </c>
      <c r="H160" s="237">
        <f>H12/H156</f>
        <v>200516.28336755646</v>
      </c>
      <c r="I160" s="126" t="e">
        <f>I12/I156</f>
        <v>#DIV/0!</v>
      </c>
      <c r="J160" s="82" t="e">
        <f t="shared" si="2"/>
        <v>#DIV/0!</v>
      </c>
      <c r="K160" s="247"/>
    </row>
    <row r="161" spans="1:11" s="28" customFormat="1" ht="33" customHeight="1" thickBot="1">
      <c r="A161" s="29"/>
      <c r="B161" s="27"/>
      <c r="C161" s="27" t="s">
        <v>149</v>
      </c>
      <c r="D161" s="697" t="s">
        <v>576</v>
      </c>
      <c r="E161" s="698"/>
      <c r="F161" s="30" t="s">
        <v>577</v>
      </c>
      <c r="G161" s="126">
        <f>G160*102.86%</f>
        <v>235803.53269967774</v>
      </c>
      <c r="H161" s="237">
        <f>H160*104.96%</f>
        <v>210461.89102258722</v>
      </c>
      <c r="I161" s="126" t="e">
        <f>I160*104.3%</f>
        <v>#DIV/0!</v>
      </c>
      <c r="J161" s="82" t="e">
        <f t="shared" si="2"/>
        <v>#DIV/0!</v>
      </c>
      <c r="K161" s="247" t="s">
        <v>777</v>
      </c>
    </row>
    <row r="162" spans="1:11" s="28" customFormat="1" ht="33" customHeight="1" thickBot="1">
      <c r="A162" s="29"/>
      <c r="B162" s="27"/>
      <c r="C162" s="27" t="s">
        <v>152</v>
      </c>
      <c r="D162" s="697" t="s">
        <v>578</v>
      </c>
      <c r="E162" s="698"/>
      <c r="F162" s="30" t="s">
        <v>579</v>
      </c>
      <c r="G162" s="126">
        <f>(G12-G28-G31)/G156</f>
        <v>228763.71535982814</v>
      </c>
      <c r="H162" s="237">
        <f>(H12-H28-H31)/H156</f>
        <v>200226.61190965094</v>
      </c>
      <c r="I162" s="126" t="e">
        <f>(I12-I28-I31)/I156</f>
        <v>#DIV/0!</v>
      </c>
      <c r="J162" s="82" t="e">
        <f t="shared" si="2"/>
        <v>#DIV/0!</v>
      </c>
      <c r="K162" s="247"/>
    </row>
    <row r="163" spans="1:11" s="28" customFormat="1" ht="34.5" customHeight="1" thickBot="1">
      <c r="A163" s="29"/>
      <c r="B163" s="27"/>
      <c r="C163" s="27" t="s">
        <v>155</v>
      </c>
      <c r="D163" s="697" t="s">
        <v>192</v>
      </c>
      <c r="E163" s="698"/>
      <c r="F163" s="30" t="s">
        <v>580</v>
      </c>
      <c r="G163" s="126">
        <f>(G13-G28-G31)/G156</f>
        <v>228522.03974221268</v>
      </c>
      <c r="H163" s="237">
        <f>(H13-H28-H31)/H156</f>
        <v>199487.38809034906</v>
      </c>
      <c r="I163" s="126" t="e">
        <f>(I13-I28-I31)/I156</f>
        <v>#DIV/0!</v>
      </c>
      <c r="J163" s="82" t="e">
        <f t="shared" si="2"/>
        <v>#DIV/0!</v>
      </c>
      <c r="K163" s="247"/>
    </row>
    <row r="164" spans="1:11" ht="28.5" customHeight="1" thickBot="1">
      <c r="A164" s="96"/>
      <c r="B164" s="9"/>
      <c r="C164" s="4" t="s">
        <v>94</v>
      </c>
      <c r="D164" s="554" t="s">
        <v>581</v>
      </c>
      <c r="E164" s="555"/>
      <c r="F164" s="30" t="s">
        <v>582</v>
      </c>
      <c r="G164" s="126"/>
      <c r="H164" s="126"/>
      <c r="I164" s="126"/>
      <c r="J164" s="82"/>
      <c r="K164" s="238"/>
    </row>
    <row r="165" spans="1:11" ht="26.25" customHeight="1" thickBot="1">
      <c r="A165" s="96"/>
      <c r="B165" s="9"/>
      <c r="C165" s="4" t="s">
        <v>583</v>
      </c>
      <c r="D165" s="554" t="s">
        <v>584</v>
      </c>
      <c r="E165" s="555"/>
      <c r="F165" s="30" t="s">
        <v>585</v>
      </c>
      <c r="G165" s="126"/>
      <c r="H165" s="126"/>
      <c r="I165" s="126"/>
      <c r="J165" s="82"/>
      <c r="K165" s="238"/>
    </row>
    <row r="166" spans="1:11" ht="13.5" thickBot="1">
      <c r="A166" s="96"/>
      <c r="B166" s="9"/>
      <c r="C166" s="4"/>
      <c r="D166" s="4"/>
      <c r="E166" s="4" t="s">
        <v>586</v>
      </c>
      <c r="F166" s="30" t="s">
        <v>587</v>
      </c>
      <c r="G166" s="126"/>
      <c r="H166" s="126"/>
      <c r="I166" s="126"/>
      <c r="J166" s="82"/>
      <c r="K166" s="238"/>
    </row>
    <row r="167" spans="1:11" ht="13.5" thickBot="1">
      <c r="A167" s="96"/>
      <c r="B167" s="9"/>
      <c r="C167" s="4"/>
      <c r="D167" s="4"/>
      <c r="E167" s="4" t="s">
        <v>588</v>
      </c>
      <c r="F167" s="30" t="s">
        <v>589</v>
      </c>
      <c r="G167" s="126"/>
      <c r="H167" s="126"/>
      <c r="I167" s="126"/>
      <c r="J167" s="82"/>
      <c r="K167" s="239"/>
    </row>
    <row r="168" spans="1:11" ht="13.5" thickBot="1">
      <c r="A168" s="96"/>
      <c r="B168" s="9"/>
      <c r="C168" s="4"/>
      <c r="D168" s="4"/>
      <c r="E168" s="4" t="s">
        <v>590</v>
      </c>
      <c r="F168" s="30" t="s">
        <v>591</v>
      </c>
      <c r="G168" s="126"/>
      <c r="H168" s="126"/>
      <c r="I168" s="126"/>
      <c r="J168" s="82"/>
      <c r="K168" s="239"/>
    </row>
    <row r="169" spans="1:11" ht="13.5" thickBot="1">
      <c r="A169" s="99"/>
      <c r="B169" s="9"/>
      <c r="C169" s="4"/>
      <c r="D169" s="4"/>
      <c r="E169" s="10" t="s">
        <v>592</v>
      </c>
      <c r="F169" s="30" t="s">
        <v>593</v>
      </c>
      <c r="G169" s="126"/>
      <c r="H169" s="126"/>
      <c r="I169" s="126"/>
      <c r="J169" s="82"/>
      <c r="K169" s="239"/>
    </row>
    <row r="170" spans="1:11">
      <c r="K170" s="85"/>
    </row>
    <row r="171" spans="1:11">
      <c r="H171" s="173"/>
      <c r="K171" s="85"/>
    </row>
    <row r="172" spans="1:11">
      <c r="E172" s="246" t="s">
        <v>762</v>
      </c>
      <c r="H172" s="173"/>
      <c r="K172" s="85"/>
    </row>
    <row r="173" spans="1:11">
      <c r="E173" s="243" t="s">
        <v>771</v>
      </c>
      <c r="H173" s="242" t="s">
        <v>770</v>
      </c>
      <c r="K173" s="85"/>
    </row>
    <row r="174" spans="1:11">
      <c r="E174" s="1" t="s">
        <v>772</v>
      </c>
      <c r="H174" s="48" t="s">
        <v>773</v>
      </c>
      <c r="K174" s="85"/>
    </row>
    <row r="175" spans="1:11">
      <c r="H175" s="48"/>
      <c r="K175" s="85"/>
    </row>
    <row r="176" spans="1:11">
      <c r="K176" s="85"/>
    </row>
    <row r="177" spans="8:11">
      <c r="K177" s="85"/>
    </row>
    <row r="178" spans="8:11">
      <c r="H178" s="48"/>
      <c r="K178" s="85"/>
    </row>
    <row r="179" spans="8:11">
      <c r="H179" s="48"/>
      <c r="K179" s="85"/>
    </row>
    <row r="180" spans="8:11">
      <c r="H180" s="48"/>
      <c r="K180" s="85"/>
    </row>
    <row r="181" spans="8:11">
      <c r="H181" s="48"/>
      <c r="K181" s="85"/>
    </row>
    <row r="182" spans="8:11">
      <c r="H182" s="48"/>
      <c r="K182" s="85"/>
    </row>
    <row r="183" spans="8:11">
      <c r="H183" s="48"/>
      <c r="K183" s="85"/>
    </row>
    <row r="184" spans="8:11">
      <c r="H184" s="48"/>
      <c r="K184" s="85"/>
    </row>
    <row r="185" spans="8:11">
      <c r="H185" s="48"/>
      <c r="K185" s="85"/>
    </row>
    <row r="186" spans="8:11">
      <c r="H186" s="48"/>
      <c r="K186" s="85"/>
    </row>
    <row r="187" spans="8:11">
      <c r="H187" s="48"/>
      <c r="K187" s="85"/>
    </row>
    <row r="188" spans="8:11">
      <c r="H188" s="48"/>
      <c r="K188" s="85"/>
    </row>
    <row r="189" spans="8:11">
      <c r="H189" s="48"/>
      <c r="K189" s="85"/>
    </row>
    <row r="190" spans="8:11">
      <c r="H190" s="48"/>
      <c r="K190" s="85"/>
    </row>
    <row r="191" spans="8:11">
      <c r="H191" s="48"/>
      <c r="K191" s="85"/>
    </row>
    <row r="192" spans="8:11">
      <c r="H192" s="48"/>
      <c r="K192" s="85"/>
    </row>
    <row r="193" spans="8:11">
      <c r="H193" s="48"/>
      <c r="K193" s="85"/>
    </row>
    <row r="194" spans="8:11">
      <c r="H194" s="48"/>
      <c r="K194" s="85"/>
    </row>
    <row r="195" spans="8:11">
      <c r="H195" s="48"/>
      <c r="K195" s="85"/>
    </row>
    <row r="196" spans="8:11">
      <c r="H196" s="48"/>
      <c r="K196" s="85"/>
    </row>
    <row r="197" spans="8:11">
      <c r="H197" s="48"/>
      <c r="K197" s="85"/>
    </row>
    <row r="198" spans="8:11">
      <c r="H198" s="48"/>
      <c r="K198" s="85"/>
    </row>
    <row r="199" spans="8:11">
      <c r="H199" s="48"/>
      <c r="K199" s="85"/>
    </row>
    <row r="200" spans="8:11">
      <c r="H200" s="48"/>
      <c r="K200" s="85"/>
    </row>
    <row r="201" spans="8:11">
      <c r="H201" s="48"/>
      <c r="K201" s="85"/>
    </row>
    <row r="202" spans="8:11">
      <c r="H202" s="48"/>
    </row>
    <row r="203" spans="8:11">
      <c r="H203" s="48"/>
    </row>
    <row r="204" spans="8:11">
      <c r="H204" s="48"/>
    </row>
    <row r="205" spans="8:11">
      <c r="H205" s="48"/>
    </row>
    <row r="206" spans="8:11">
      <c r="H206" s="48"/>
    </row>
    <row r="207" spans="8:11">
      <c r="H207" s="48"/>
    </row>
    <row r="208" spans="8:11">
      <c r="H208" s="48"/>
    </row>
    <row r="209" spans="8:8">
      <c r="H209" s="48"/>
    </row>
    <row r="210" spans="8:8">
      <c r="H210" s="48"/>
    </row>
  </sheetData>
  <mergeCells count="127">
    <mergeCell ref="A155:A156"/>
    <mergeCell ref="D155:E155"/>
    <mergeCell ref="D156:E156"/>
    <mergeCell ref="B143:B149"/>
    <mergeCell ref="A125:A150"/>
    <mergeCell ref="B125:B135"/>
    <mergeCell ref="C125:C126"/>
    <mergeCell ref="D165:E165"/>
    <mergeCell ref="A2:D2"/>
    <mergeCell ref="A3:D3"/>
    <mergeCell ref="A4:D4"/>
    <mergeCell ref="D5:J5"/>
    <mergeCell ref="D6:I6"/>
    <mergeCell ref="D164:E164"/>
    <mergeCell ref="D157:E157"/>
    <mergeCell ref="D154:E154"/>
    <mergeCell ref="D163:E163"/>
    <mergeCell ref="D153:E153"/>
    <mergeCell ref="D160:E160"/>
    <mergeCell ref="D161:E161"/>
    <mergeCell ref="D158:E158"/>
    <mergeCell ref="D146:E146"/>
    <mergeCell ref="D134:E134"/>
    <mergeCell ref="D135:E135"/>
    <mergeCell ref="D130:E130"/>
    <mergeCell ref="D131:E131"/>
    <mergeCell ref="D125:E125"/>
    <mergeCell ref="D126:E126"/>
    <mergeCell ref="C127:E127"/>
    <mergeCell ref="D133:E133"/>
    <mergeCell ref="D162:E162"/>
    <mergeCell ref="D117:E117"/>
    <mergeCell ref="D116:E116"/>
    <mergeCell ref="D143:E143"/>
    <mergeCell ref="D159:E159"/>
    <mergeCell ref="D129:E129"/>
    <mergeCell ref="D150:E150"/>
    <mergeCell ref="D151:E151"/>
    <mergeCell ref="D149:E149"/>
    <mergeCell ref="D132:E132"/>
    <mergeCell ref="D96:E96"/>
    <mergeCell ref="D45:E45"/>
    <mergeCell ref="D46:E46"/>
    <mergeCell ref="D51:E51"/>
    <mergeCell ref="D58:E58"/>
    <mergeCell ref="D35:E35"/>
    <mergeCell ref="D95:E95"/>
    <mergeCell ref="C91:E91"/>
    <mergeCell ref="D92:E92"/>
    <mergeCell ref="D53:E53"/>
    <mergeCell ref="D142:E142"/>
    <mergeCell ref="D59:E59"/>
    <mergeCell ref="D128:E128"/>
    <mergeCell ref="D54:E54"/>
    <mergeCell ref="D57:E57"/>
    <mergeCell ref="D90:E90"/>
    <mergeCell ref="D124:E124"/>
    <mergeCell ref="D113:E113"/>
    <mergeCell ref="D114:E114"/>
    <mergeCell ref="D36:E36"/>
    <mergeCell ref="C43:E43"/>
    <mergeCell ref="G9:H9"/>
    <mergeCell ref="D52:E52"/>
    <mergeCell ref="D24:E24"/>
    <mergeCell ref="D14:E14"/>
    <mergeCell ref="D19:E19"/>
    <mergeCell ref="D20:E20"/>
    <mergeCell ref="D38:E38"/>
    <mergeCell ref="D37:E37"/>
    <mergeCell ref="D34:E34"/>
    <mergeCell ref="B41:E41"/>
    <mergeCell ref="A9:B9"/>
    <mergeCell ref="D9:E10"/>
    <mergeCell ref="D12:E12"/>
    <mergeCell ref="D13:E13"/>
    <mergeCell ref="B11:C11"/>
    <mergeCell ref="D11:E11"/>
    <mergeCell ref="D81:E81"/>
    <mergeCell ref="D25:E25"/>
    <mergeCell ref="A10:B10"/>
    <mergeCell ref="D60:E60"/>
    <mergeCell ref="D62:E62"/>
    <mergeCell ref="D69:E69"/>
    <mergeCell ref="D74:E74"/>
    <mergeCell ref="A70:A100"/>
    <mergeCell ref="B70:B100"/>
    <mergeCell ref="D76:E76"/>
    <mergeCell ref="D93:E93"/>
    <mergeCell ref="D94:E94"/>
    <mergeCell ref="D26:E26"/>
    <mergeCell ref="D39:E39"/>
    <mergeCell ref="D40:E40"/>
    <mergeCell ref="D49:E49"/>
    <mergeCell ref="D50:E50"/>
    <mergeCell ref="D44:E44"/>
    <mergeCell ref="C42:E42"/>
    <mergeCell ref="D75:E75"/>
    <mergeCell ref="D123:E123"/>
    <mergeCell ref="D107:E107"/>
    <mergeCell ref="D77:E77"/>
    <mergeCell ref="D100:E100"/>
    <mergeCell ref="D97:E97"/>
    <mergeCell ref="D79:E79"/>
    <mergeCell ref="D99:E99"/>
    <mergeCell ref="D80:E80"/>
    <mergeCell ref="C98:E98"/>
    <mergeCell ref="D78:E78"/>
    <mergeCell ref="D104:E104"/>
    <mergeCell ref="D108:E108"/>
    <mergeCell ref="A101:A124"/>
    <mergeCell ref="C116:C119"/>
    <mergeCell ref="D119:E119"/>
    <mergeCell ref="C121:C124"/>
    <mergeCell ref="D121:E121"/>
    <mergeCell ref="D120:E120"/>
    <mergeCell ref="D118:E118"/>
    <mergeCell ref="D122:E122"/>
    <mergeCell ref="D109:E109"/>
    <mergeCell ref="D115:E115"/>
    <mergeCell ref="D111:E111"/>
    <mergeCell ref="D110:E110"/>
    <mergeCell ref="D112:E112"/>
    <mergeCell ref="B101:B124"/>
    <mergeCell ref="C101:C102"/>
    <mergeCell ref="D101:E101"/>
    <mergeCell ref="D102:E102"/>
    <mergeCell ref="D103:E103"/>
  </mergeCells>
  <phoneticPr fontId="21" type="noConversion"/>
  <pageMargins left="0.7" right="0.7" top="0.75" bottom="0.75" header="0.3" footer="0.3"/>
  <pageSetup orientation="landscape" verticalDpi="4" r:id="rId1"/>
  <ignoredErrors>
    <ignoredError sqref="J62 J12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dimension ref="A2:H50"/>
  <sheetViews>
    <sheetView workbookViewId="0"/>
  </sheetViews>
  <sheetFormatPr defaultRowHeight="14.25"/>
  <cols>
    <col min="1" max="1" width="5" style="12" customWidth="1"/>
    <col min="2" max="2" width="52.140625" style="12" customWidth="1"/>
    <col min="3" max="3" width="7.5703125" style="12" customWidth="1"/>
    <col min="4" max="4" width="13.28515625" style="12" customWidth="1"/>
    <col min="5" max="5" width="9.85546875" style="12" customWidth="1"/>
    <col min="6" max="6" width="10.5703125" style="12" customWidth="1"/>
    <col min="7" max="16384" width="9.140625" style="12"/>
  </cols>
  <sheetData>
    <row r="2" spans="1:8">
      <c r="A2" s="452" t="s">
        <v>733</v>
      </c>
      <c r="B2" s="452"/>
      <c r="C2" s="452"/>
      <c r="D2" s="452"/>
    </row>
    <row r="3" spans="1:8">
      <c r="A3" s="452" t="s">
        <v>734</v>
      </c>
      <c r="B3" s="452"/>
      <c r="C3" s="452"/>
      <c r="D3" s="452"/>
      <c r="G3" s="13" t="s">
        <v>59</v>
      </c>
      <c r="H3" s="13"/>
    </row>
    <row r="4" spans="1:8">
      <c r="A4" s="452" t="s">
        <v>735</v>
      </c>
      <c r="B4" s="452"/>
      <c r="C4" s="452"/>
      <c r="D4" s="452"/>
    </row>
    <row r="5" spans="1:8">
      <c r="A5" s="186"/>
      <c r="B5" s="186"/>
      <c r="G5" s="14"/>
      <c r="H5" s="14"/>
    </row>
    <row r="6" spans="1:8">
      <c r="A6" s="186"/>
      <c r="B6" s="560" t="s">
        <v>1</v>
      </c>
      <c r="C6" s="560"/>
      <c r="D6" s="560"/>
      <c r="E6" s="560"/>
      <c r="G6" s="14"/>
      <c r="H6" s="14"/>
    </row>
    <row r="7" spans="1:8">
      <c r="A7" s="186"/>
      <c r="B7" s="560" t="s">
        <v>82</v>
      </c>
      <c r="C7" s="560"/>
      <c r="D7" s="560"/>
      <c r="E7" s="560"/>
      <c r="G7" s="14"/>
      <c r="H7" s="14"/>
    </row>
    <row r="8" spans="1:8">
      <c r="B8" s="562" t="s">
        <v>2</v>
      </c>
      <c r="C8" s="562"/>
      <c r="D8" s="562"/>
      <c r="E8" s="562"/>
    </row>
    <row r="9" spans="1:8">
      <c r="B9" s="15"/>
      <c r="C9" s="15"/>
      <c r="D9" s="15"/>
      <c r="E9" s="15"/>
    </row>
    <row r="10" spans="1:8" ht="15" thickBot="1">
      <c r="G10" s="12" t="s">
        <v>785</v>
      </c>
    </row>
    <row r="11" spans="1:8" ht="15" thickBot="1">
      <c r="A11" s="563"/>
      <c r="B11" s="565" t="s">
        <v>60</v>
      </c>
      <c r="C11" s="567" t="s">
        <v>61</v>
      </c>
      <c r="D11" s="450" t="s">
        <v>720</v>
      </c>
      <c r="E11" s="451"/>
      <c r="F11" s="450" t="s">
        <v>62</v>
      </c>
      <c r="G11" s="561"/>
      <c r="H11" s="451"/>
    </row>
    <row r="12" spans="1:8" ht="39" thickBot="1">
      <c r="A12" s="564"/>
      <c r="B12" s="566"/>
      <c r="C12" s="568"/>
      <c r="D12" s="140" t="s">
        <v>721</v>
      </c>
      <c r="E12" s="8" t="s">
        <v>64</v>
      </c>
      <c r="F12" s="8" t="s">
        <v>477</v>
      </c>
      <c r="G12" s="3" t="s">
        <v>722</v>
      </c>
      <c r="H12" s="3" t="s">
        <v>723</v>
      </c>
    </row>
    <row r="13" spans="1:8" ht="15" thickBot="1">
      <c r="A13" s="187" t="s">
        <v>724</v>
      </c>
      <c r="B13" s="3" t="s">
        <v>71</v>
      </c>
      <c r="C13" s="3" t="s">
        <v>65</v>
      </c>
      <c r="D13" s="3" t="s">
        <v>66</v>
      </c>
      <c r="E13" s="3" t="s">
        <v>465</v>
      </c>
      <c r="F13" s="3" t="s">
        <v>67</v>
      </c>
      <c r="G13" s="3" t="s">
        <v>4</v>
      </c>
      <c r="H13" s="3" t="s">
        <v>68</v>
      </c>
    </row>
    <row r="14" spans="1:8" ht="15" thickBot="1">
      <c r="A14" s="187"/>
      <c r="B14" s="3"/>
      <c r="C14" s="3"/>
      <c r="D14" s="188"/>
      <c r="E14" s="188"/>
      <c r="F14" s="188"/>
      <c r="G14" s="188"/>
      <c r="H14" s="188"/>
    </row>
    <row r="15" spans="1:8" ht="15" thickBot="1">
      <c r="A15" s="189"/>
      <c r="B15" s="190" t="s">
        <v>725</v>
      </c>
      <c r="C15" s="191"/>
      <c r="D15" s="192"/>
      <c r="E15" s="192"/>
      <c r="F15" s="192"/>
      <c r="G15" s="192"/>
      <c r="H15" s="192"/>
    </row>
    <row r="16" spans="1:8" ht="15" thickBot="1">
      <c r="A16" s="193" t="s">
        <v>3</v>
      </c>
      <c r="B16" s="194" t="s">
        <v>69</v>
      </c>
      <c r="C16" s="195"/>
      <c r="D16" s="196"/>
      <c r="E16" s="196"/>
      <c r="F16" s="196"/>
      <c r="G16" s="196"/>
      <c r="H16" s="196"/>
    </row>
    <row r="17" spans="1:8" ht="15" thickBot="1">
      <c r="A17" s="197"/>
      <c r="B17" s="198" t="s">
        <v>726</v>
      </c>
      <c r="C17" s="9"/>
      <c r="D17" s="199"/>
      <c r="E17" s="200"/>
      <c r="F17" s="200"/>
      <c r="G17" s="200"/>
      <c r="H17" s="200"/>
    </row>
    <row r="18" spans="1:8" ht="15" thickBot="1">
      <c r="A18" s="197"/>
      <c r="B18" s="198" t="s">
        <v>727</v>
      </c>
      <c r="C18" s="9"/>
      <c r="D18" s="199"/>
      <c r="E18" s="199"/>
      <c r="F18" s="199"/>
      <c r="G18" s="199"/>
      <c r="H18" s="199"/>
    </row>
    <row r="19" spans="1:8" ht="15" thickBot="1">
      <c r="A19" s="197"/>
      <c r="B19" s="198" t="s">
        <v>70</v>
      </c>
      <c r="C19" s="9"/>
      <c r="D19" s="199"/>
      <c r="E19" s="199"/>
      <c r="F19" s="199"/>
      <c r="G19" s="199"/>
      <c r="H19" s="199"/>
    </row>
    <row r="20" spans="1:8" ht="15" thickBot="1">
      <c r="A20" s="193" t="s">
        <v>71</v>
      </c>
      <c r="B20" s="194" t="s">
        <v>72</v>
      </c>
      <c r="C20" s="195"/>
      <c r="D20" s="196"/>
      <c r="E20" s="196"/>
      <c r="F20" s="196"/>
      <c r="G20" s="196"/>
      <c r="H20" s="196"/>
    </row>
    <row r="21" spans="1:8" ht="15" thickBot="1">
      <c r="A21" s="197"/>
      <c r="B21" s="198" t="s">
        <v>765</v>
      </c>
      <c r="C21" s="9"/>
      <c r="D21" s="199"/>
      <c r="E21" s="199"/>
      <c r="F21" s="199"/>
      <c r="G21" s="201"/>
      <c r="H21" s="201"/>
    </row>
    <row r="22" spans="1:8" ht="15" thickBot="1">
      <c r="A22" s="197"/>
      <c r="B22" s="198" t="s">
        <v>766</v>
      </c>
      <c r="C22" s="9"/>
      <c r="D22" s="199"/>
      <c r="E22" s="199"/>
      <c r="F22" s="199"/>
      <c r="G22" s="202"/>
      <c r="H22" s="203"/>
    </row>
    <row r="23" spans="1:8" ht="15" thickBot="1">
      <c r="A23" s="193" t="s">
        <v>65</v>
      </c>
      <c r="B23" s="194" t="s">
        <v>73</v>
      </c>
      <c r="C23" s="195"/>
      <c r="D23" s="196"/>
      <c r="E23" s="196"/>
      <c r="F23" s="196"/>
      <c r="G23" s="196"/>
      <c r="H23" s="196"/>
    </row>
    <row r="24" spans="1:8" ht="15" thickBot="1">
      <c r="A24" s="204"/>
      <c r="B24" s="205" t="s">
        <v>74</v>
      </c>
      <c r="C24" s="206"/>
      <c r="D24" s="207"/>
      <c r="E24" s="207"/>
      <c r="F24" s="207"/>
      <c r="G24" s="207"/>
      <c r="H24" s="207"/>
    </row>
    <row r="25" spans="1:8" ht="15" thickBot="1">
      <c r="A25" s="204"/>
      <c r="B25" s="205" t="s">
        <v>75</v>
      </c>
      <c r="C25" s="206"/>
      <c r="D25" s="208"/>
      <c r="E25" s="208"/>
      <c r="F25" s="208"/>
      <c r="G25" s="208"/>
      <c r="H25" s="208"/>
    </row>
    <row r="26" spans="1:8" ht="15" thickBot="1">
      <c r="A26" s="193" t="s">
        <v>66</v>
      </c>
      <c r="B26" s="194" t="s">
        <v>76</v>
      </c>
      <c r="C26" s="195"/>
      <c r="D26" s="196"/>
      <c r="E26" s="196"/>
      <c r="F26" s="196"/>
      <c r="G26" s="196"/>
      <c r="H26" s="196"/>
    </row>
    <row r="27" spans="1:8" ht="15" thickBot="1">
      <c r="A27" s="189"/>
      <c r="B27" s="190" t="s">
        <v>728</v>
      </c>
      <c r="C27" s="191"/>
      <c r="D27" s="192"/>
      <c r="E27" s="192"/>
      <c r="F27" s="192"/>
      <c r="G27" s="192"/>
      <c r="H27" s="192"/>
    </row>
    <row r="28" spans="1:8" ht="15" thickBot="1">
      <c r="A28" s="197">
        <v>1</v>
      </c>
      <c r="B28" s="210" t="s">
        <v>729</v>
      </c>
      <c r="C28" s="211"/>
      <c r="D28" s="212"/>
      <c r="E28" s="212"/>
      <c r="F28" s="212"/>
      <c r="G28" s="212"/>
      <c r="H28" s="212"/>
    </row>
    <row r="29" spans="1:8" ht="15" thickBot="1">
      <c r="A29" s="197"/>
      <c r="B29" s="213" t="s">
        <v>730</v>
      </c>
      <c r="C29" s="124"/>
      <c r="D29" s="199"/>
      <c r="E29" s="199"/>
      <c r="F29" s="199"/>
      <c r="G29" s="199"/>
      <c r="H29" s="199"/>
    </row>
    <row r="30" spans="1:8" ht="23.25" thickBot="1">
      <c r="A30" s="197"/>
      <c r="B30" s="214" t="s">
        <v>731</v>
      </c>
      <c r="C30" s="124"/>
      <c r="D30" s="209"/>
      <c r="E30" s="209"/>
      <c r="F30" s="209"/>
      <c r="G30" s="209"/>
      <c r="H30" s="209"/>
    </row>
    <row r="31" spans="1:8" ht="15" thickBot="1">
      <c r="A31" s="197">
        <v>2</v>
      </c>
      <c r="B31" s="210" t="s">
        <v>78</v>
      </c>
      <c r="C31" s="211"/>
      <c r="D31" s="215"/>
      <c r="E31" s="215"/>
      <c r="F31" s="215"/>
      <c r="G31" s="215"/>
      <c r="H31" s="215"/>
    </row>
    <row r="32" spans="1:8" ht="15" thickBot="1">
      <c r="A32" s="197"/>
      <c r="B32" s="213" t="s">
        <v>730</v>
      </c>
      <c r="C32" s="216"/>
      <c r="D32" s="199"/>
      <c r="E32" s="199"/>
      <c r="F32" s="199"/>
      <c r="G32" s="199"/>
      <c r="H32" s="199"/>
    </row>
    <row r="33" spans="1:8" ht="23.25" thickBot="1">
      <c r="A33" s="197"/>
      <c r="B33" s="214" t="s">
        <v>731</v>
      </c>
      <c r="C33" s="124"/>
      <c r="D33" s="217"/>
      <c r="E33" s="217"/>
      <c r="F33" s="217"/>
      <c r="G33" s="217"/>
      <c r="H33" s="217"/>
    </row>
    <row r="34" spans="1:8" ht="23.25" thickBot="1">
      <c r="A34" s="197"/>
      <c r="B34" s="214" t="s">
        <v>767</v>
      </c>
      <c r="C34" s="124"/>
      <c r="D34" s="209"/>
      <c r="E34" s="209"/>
      <c r="F34" s="209"/>
      <c r="G34" s="209"/>
      <c r="H34" s="209"/>
    </row>
    <row r="35" spans="1:8" ht="34.5" thickBot="1">
      <c r="A35" s="197"/>
      <c r="B35" s="214" t="s">
        <v>768</v>
      </c>
      <c r="C35" s="124"/>
      <c r="D35" s="209"/>
      <c r="E35" s="209"/>
      <c r="F35" s="209"/>
      <c r="G35" s="209"/>
      <c r="H35" s="209"/>
    </row>
    <row r="36" spans="1:8" ht="15" thickBot="1">
      <c r="A36" s="197">
        <v>3</v>
      </c>
      <c r="B36" s="210" t="s">
        <v>769</v>
      </c>
      <c r="C36" s="124"/>
      <c r="D36" s="209"/>
      <c r="E36" s="209"/>
      <c r="F36" s="209"/>
      <c r="G36" s="209"/>
      <c r="H36" s="209"/>
    </row>
    <row r="37" spans="1:8" ht="15" thickBot="1">
      <c r="A37" s="197"/>
      <c r="B37" s="213" t="s">
        <v>730</v>
      </c>
      <c r="C37" s="124"/>
      <c r="D37" s="209"/>
      <c r="E37" s="209"/>
      <c r="F37" s="209"/>
      <c r="G37" s="209"/>
      <c r="H37" s="209"/>
    </row>
    <row r="38" spans="1:8" ht="23.25" thickBot="1">
      <c r="A38" s="197"/>
      <c r="B38" s="214" t="s">
        <v>731</v>
      </c>
      <c r="C38" s="124"/>
      <c r="D38" s="209"/>
      <c r="E38" s="209"/>
      <c r="F38" s="209"/>
      <c r="G38" s="209"/>
      <c r="H38" s="209"/>
    </row>
    <row r="39" spans="1:8" ht="23.25" thickBot="1">
      <c r="A39" s="197"/>
      <c r="B39" s="214" t="s">
        <v>767</v>
      </c>
      <c r="C39" s="124"/>
      <c r="D39" s="209"/>
      <c r="E39" s="209"/>
      <c r="F39" s="209"/>
      <c r="G39" s="209"/>
      <c r="H39" s="209"/>
    </row>
    <row r="40" spans="1:8" ht="34.5" thickBot="1">
      <c r="A40" s="197"/>
      <c r="B40" s="214" t="s">
        <v>768</v>
      </c>
      <c r="C40" s="124"/>
      <c r="D40" s="209"/>
      <c r="E40" s="209"/>
      <c r="F40" s="209"/>
      <c r="G40" s="209"/>
      <c r="H40" s="209"/>
    </row>
    <row r="41" spans="1:8" ht="15" thickBot="1">
      <c r="A41" s="218">
        <v>4</v>
      </c>
      <c r="B41" s="219" t="s">
        <v>79</v>
      </c>
      <c r="C41" s="220"/>
      <c r="D41" s="221"/>
      <c r="E41" s="221"/>
      <c r="F41" s="221"/>
      <c r="G41" s="221"/>
      <c r="H41" s="221"/>
    </row>
    <row r="42" spans="1:8" ht="15" thickBot="1">
      <c r="A42" s="187">
        <v>4</v>
      </c>
      <c r="B42" s="222" t="s">
        <v>732</v>
      </c>
      <c r="C42" s="223"/>
      <c r="D42" s="221"/>
      <c r="E42" s="221"/>
      <c r="F42" s="221"/>
      <c r="G42" s="221"/>
      <c r="H42" s="221"/>
    </row>
    <row r="43" spans="1:8" ht="15" thickBot="1">
      <c r="A43" s="187"/>
      <c r="B43" s="224" t="s">
        <v>74</v>
      </c>
      <c r="C43" s="225"/>
      <c r="D43" s="199"/>
      <c r="E43" s="199"/>
      <c r="F43" s="199"/>
      <c r="G43" s="199"/>
      <c r="H43" s="199"/>
    </row>
    <row r="44" spans="1:8" ht="15" thickBot="1">
      <c r="A44" s="187"/>
      <c r="B44" s="224" t="s">
        <v>81</v>
      </c>
      <c r="C44" s="225"/>
      <c r="D44" s="199"/>
      <c r="E44" s="199"/>
      <c r="F44" s="199"/>
      <c r="G44" s="199"/>
      <c r="H44" s="199"/>
    </row>
    <row r="45" spans="1:8" ht="15" thickBot="1">
      <c r="A45" s="187"/>
      <c r="B45" s="226"/>
      <c r="C45" s="225"/>
      <c r="D45" s="199"/>
      <c r="E45" s="199"/>
      <c r="F45" s="199"/>
      <c r="G45" s="199"/>
      <c r="H45" s="199"/>
    </row>
    <row r="48" spans="1:8">
      <c r="C48" s="12" t="s">
        <v>771</v>
      </c>
      <c r="F48" s="12" t="s">
        <v>770</v>
      </c>
    </row>
    <row r="49" spans="1:7" ht="15.75">
      <c r="A49" s="1"/>
      <c r="B49" s="227"/>
      <c r="C49" s="12" t="s">
        <v>772</v>
      </c>
      <c r="D49" s="253"/>
      <c r="E49" s="253"/>
      <c r="F49" s="253" t="s">
        <v>773</v>
      </c>
      <c r="G49" s="253"/>
    </row>
    <row r="50" spans="1:7" ht="15.75">
      <c r="A50" s="1"/>
      <c r="B50" s="228"/>
      <c r="D50" s="702"/>
      <c r="E50" s="702"/>
      <c r="F50" s="702"/>
      <c r="G50" s="702"/>
    </row>
  </sheetData>
  <mergeCells count="12">
    <mergeCell ref="B8:E8"/>
    <mergeCell ref="A2:D2"/>
    <mergeCell ref="A3:D3"/>
    <mergeCell ref="A4:D4"/>
    <mergeCell ref="B6:E6"/>
    <mergeCell ref="B7:E7"/>
    <mergeCell ref="D50:G50"/>
    <mergeCell ref="A11:A12"/>
    <mergeCell ref="B11:B12"/>
    <mergeCell ref="C11:C12"/>
    <mergeCell ref="D11:E11"/>
    <mergeCell ref="F11:H11"/>
  </mergeCells>
  <phoneticPr fontId="21" type="noConversion"/>
  <pageMargins left="0.95" right="0.7" top="0.5" bottom="0.75" header="0.3" footer="0.3"/>
  <pageSetup paperSize="9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0"/>
  <sheetViews>
    <sheetView topLeftCell="B1" workbookViewId="0">
      <selection activeCell="G8" sqref="G8"/>
    </sheetView>
  </sheetViews>
  <sheetFormatPr defaultRowHeight="12.75"/>
  <cols>
    <col min="1" max="1" width="3.5703125" style="1" customWidth="1"/>
    <col min="2" max="2" width="3.140625" style="86" customWidth="1"/>
    <col min="3" max="3" width="4.7109375" style="1" customWidth="1"/>
    <col min="4" max="4" width="13" style="1" customWidth="1"/>
    <col min="5" max="5" width="50" style="1" customWidth="1"/>
    <col min="6" max="6" width="5.5703125" style="1" customWidth="1"/>
    <col min="7" max="7" width="12.85546875" style="1" customWidth="1"/>
    <col min="8" max="8" width="11.7109375" style="1" customWidth="1"/>
    <col min="9" max="9" width="12.28515625" style="1" customWidth="1"/>
    <col min="10" max="10" width="9.28515625" style="1" bestFit="1" customWidth="1"/>
    <col min="11" max="11" width="14.42578125" style="1" customWidth="1"/>
    <col min="12" max="12" width="10.85546875" style="1" customWidth="1"/>
    <col min="13" max="16384" width="9.140625" style="1"/>
  </cols>
  <sheetData>
    <row r="1" spans="1:12">
      <c r="A1" s="144"/>
      <c r="B1" s="27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>
      <c r="A2" s="489" t="s">
        <v>733</v>
      </c>
      <c r="B2" s="489"/>
      <c r="C2" s="489"/>
      <c r="D2" s="489"/>
      <c r="E2" s="144"/>
      <c r="F2" s="144"/>
      <c r="G2" s="144"/>
      <c r="H2" s="144"/>
      <c r="I2" s="144"/>
      <c r="J2" s="144"/>
      <c r="K2" s="144"/>
      <c r="L2" s="144"/>
    </row>
    <row r="3" spans="1:12" ht="35.25" customHeight="1">
      <c r="A3" s="490" t="s">
        <v>783</v>
      </c>
      <c r="B3" s="490"/>
      <c r="C3" s="490"/>
      <c r="D3" s="490"/>
      <c r="E3" s="144"/>
      <c r="F3" s="144"/>
      <c r="G3" s="144"/>
      <c r="H3" s="144"/>
      <c r="I3" s="279" t="s">
        <v>51</v>
      </c>
      <c r="J3" s="144"/>
      <c r="K3" s="144"/>
      <c r="L3" s="144"/>
    </row>
    <row r="4" spans="1:12">
      <c r="A4" s="489" t="s">
        <v>735</v>
      </c>
      <c r="B4" s="489"/>
      <c r="C4" s="489"/>
      <c r="D4" s="489"/>
      <c r="E4" s="144"/>
      <c r="F4" s="144"/>
      <c r="G4" s="144"/>
      <c r="H4" s="144"/>
      <c r="I4" s="144"/>
      <c r="J4" s="144"/>
      <c r="K4" s="144"/>
      <c r="L4" s="144"/>
    </row>
    <row r="5" spans="1:12">
      <c r="A5" s="269"/>
      <c r="B5" s="274"/>
      <c r="C5" s="269"/>
      <c r="D5" s="491"/>
      <c r="E5" s="491"/>
      <c r="F5" s="491"/>
      <c r="G5" s="491"/>
      <c r="H5" s="491"/>
      <c r="I5" s="491"/>
      <c r="J5" s="491"/>
      <c r="K5" s="144"/>
      <c r="L5" s="144"/>
    </row>
    <row r="6" spans="1:12">
      <c r="A6" s="269"/>
      <c r="B6" s="274"/>
      <c r="C6" s="269"/>
      <c r="D6" s="491"/>
      <c r="E6" s="491"/>
      <c r="F6" s="491"/>
      <c r="G6" s="491"/>
      <c r="H6" s="491"/>
      <c r="I6" s="491"/>
      <c r="J6" s="144"/>
      <c r="K6" s="144"/>
      <c r="L6" s="144"/>
    </row>
    <row r="7" spans="1:12">
      <c r="A7" s="269"/>
      <c r="B7" s="274"/>
      <c r="C7" s="269"/>
      <c r="D7" s="274"/>
      <c r="E7" s="274" t="s">
        <v>857</v>
      </c>
      <c r="F7" s="274"/>
      <c r="G7" s="274"/>
      <c r="H7" s="274"/>
      <c r="I7" s="274"/>
      <c r="J7" s="144"/>
      <c r="K7" s="144"/>
      <c r="L7" s="144"/>
    </row>
    <row r="8" spans="1:12" ht="13.5" thickBot="1">
      <c r="A8" s="144"/>
      <c r="B8" s="274"/>
      <c r="C8" s="144"/>
      <c r="D8" s="144"/>
      <c r="E8" s="274" t="s">
        <v>858</v>
      </c>
      <c r="F8" s="144"/>
      <c r="G8" s="144"/>
      <c r="H8" s="144"/>
      <c r="I8" s="86" t="s">
        <v>819</v>
      </c>
      <c r="J8" s="144"/>
      <c r="K8" s="144"/>
      <c r="L8" s="144"/>
    </row>
    <row r="9" spans="1:12" ht="39" thickBot="1">
      <c r="A9" s="498"/>
      <c r="B9" s="499"/>
      <c r="C9" s="280"/>
      <c r="D9" s="485" t="s">
        <v>6</v>
      </c>
      <c r="E9" s="486"/>
      <c r="F9" s="281" t="s">
        <v>7</v>
      </c>
      <c r="G9" s="477" t="s">
        <v>180</v>
      </c>
      <c r="H9" s="478"/>
      <c r="I9" s="282" t="s">
        <v>179</v>
      </c>
      <c r="J9" s="283" t="s">
        <v>253</v>
      </c>
      <c r="K9" s="144"/>
      <c r="L9" s="144"/>
    </row>
    <row r="10" spans="1:12" ht="26.25" thickBot="1">
      <c r="A10" s="483"/>
      <c r="B10" s="484"/>
      <c r="C10" s="284"/>
      <c r="D10" s="487"/>
      <c r="E10" s="488"/>
      <c r="F10" s="285" t="s">
        <v>8</v>
      </c>
      <c r="G10" s="283" t="s">
        <v>9</v>
      </c>
      <c r="H10" s="286" t="s">
        <v>10</v>
      </c>
      <c r="I10" s="283" t="s">
        <v>11</v>
      </c>
      <c r="J10" s="283" t="s">
        <v>12</v>
      </c>
      <c r="K10" s="144"/>
      <c r="L10" s="144"/>
    </row>
    <row r="11" spans="1:12" ht="13.5" thickBot="1">
      <c r="A11" s="124" t="s">
        <v>96</v>
      </c>
      <c r="B11" s="500" t="s">
        <v>13</v>
      </c>
      <c r="C11" s="501"/>
      <c r="D11" s="500" t="s">
        <v>71</v>
      </c>
      <c r="E11" s="501"/>
      <c r="F11" s="124" t="s">
        <v>65</v>
      </c>
      <c r="G11" s="283" t="s">
        <v>66</v>
      </c>
      <c r="H11" s="283" t="s">
        <v>80</v>
      </c>
      <c r="I11" s="283" t="s">
        <v>67</v>
      </c>
      <c r="J11" s="283" t="s">
        <v>14</v>
      </c>
      <c r="K11" s="144"/>
      <c r="L11" s="144"/>
    </row>
    <row r="12" spans="1:12" ht="13.5" thickBot="1">
      <c r="A12" s="124" t="s">
        <v>254</v>
      </c>
      <c r="B12" s="197"/>
      <c r="C12" s="288"/>
      <c r="D12" s="502" t="s">
        <v>437</v>
      </c>
      <c r="E12" s="503"/>
      <c r="F12" s="287" t="s">
        <v>3</v>
      </c>
      <c r="G12" s="159">
        <f>G13+G34+G40</f>
        <v>213429.019</v>
      </c>
      <c r="H12" s="159">
        <f>H13+H34+H40</f>
        <v>195302.86</v>
      </c>
      <c r="I12" s="159">
        <f>I13+I34+I40</f>
        <v>206719.78100000002</v>
      </c>
      <c r="J12" s="289">
        <f>I12/H12</f>
        <v>1.0584575207961626</v>
      </c>
      <c r="K12" s="290"/>
      <c r="L12" s="144"/>
    </row>
    <row r="13" spans="1:12" ht="13.5" customHeight="1" thickBot="1">
      <c r="A13" s="281"/>
      <c r="B13" s="283" t="s">
        <v>13</v>
      </c>
      <c r="C13" s="213"/>
      <c r="D13" s="479" t="s">
        <v>15</v>
      </c>
      <c r="E13" s="480"/>
      <c r="F13" s="124" t="s">
        <v>71</v>
      </c>
      <c r="G13" s="127">
        <f>G14+G19+G20+G24+G25+G26</f>
        <v>213204.019</v>
      </c>
      <c r="H13" s="127">
        <f>H14+H19+H20+H24+H25+H26</f>
        <v>194582.856</v>
      </c>
      <c r="I13" s="127">
        <f>I14+I19+I20+I24+I25+I26</f>
        <v>206319.78100000002</v>
      </c>
      <c r="J13" s="291">
        <f>I13/H13</f>
        <v>1.0603183920786938</v>
      </c>
      <c r="K13" s="290"/>
      <c r="L13" s="144"/>
    </row>
    <row r="14" spans="1:12" ht="13.5" customHeight="1" thickBot="1">
      <c r="A14" s="292"/>
      <c r="B14" s="313"/>
      <c r="C14" s="213" t="s">
        <v>93</v>
      </c>
      <c r="D14" s="479" t="s">
        <v>16</v>
      </c>
      <c r="E14" s="480"/>
      <c r="F14" s="124" t="s">
        <v>65</v>
      </c>
      <c r="G14" s="127">
        <f>G15+G16+G17+G18</f>
        <v>167614.652</v>
      </c>
      <c r="H14" s="127">
        <f>H15+H16+H17+H18</f>
        <v>156271.125</v>
      </c>
      <c r="I14" s="127">
        <f>I15+I16+I17+I18</f>
        <v>164831.18000000002</v>
      </c>
      <c r="J14" s="291">
        <f t="shared" ref="J14:J77" si="0">I14/H14</f>
        <v>1.0547769461568797</v>
      </c>
      <c r="K14" s="293"/>
      <c r="L14" s="144"/>
    </row>
    <row r="15" spans="1:12" ht="13.5" thickBot="1">
      <c r="A15" s="292"/>
      <c r="B15" s="314"/>
      <c r="C15" s="213"/>
      <c r="D15" s="213" t="s">
        <v>17</v>
      </c>
      <c r="E15" s="294" t="s">
        <v>18</v>
      </c>
      <c r="F15" s="124" t="s">
        <v>19</v>
      </c>
      <c r="G15" s="127">
        <v>163363.652</v>
      </c>
      <c r="H15" s="127">
        <v>155397.98699999999</v>
      </c>
      <c r="I15" s="127">
        <v>160297.98000000001</v>
      </c>
      <c r="J15" s="291">
        <f t="shared" si="0"/>
        <v>1.0315318949401835</v>
      </c>
      <c r="K15" s="293">
        <v>704</v>
      </c>
      <c r="L15" s="144"/>
    </row>
    <row r="16" spans="1:12" ht="13.5" thickBot="1">
      <c r="A16" s="292"/>
      <c r="B16" s="314"/>
      <c r="C16" s="213"/>
      <c r="D16" s="213" t="s">
        <v>20</v>
      </c>
      <c r="E16" s="294" t="s">
        <v>21</v>
      </c>
      <c r="F16" s="124" t="s">
        <v>80</v>
      </c>
      <c r="G16" s="127">
        <v>900</v>
      </c>
      <c r="H16" s="127">
        <v>741.03499999999997</v>
      </c>
      <c r="I16" s="127">
        <v>1208.2</v>
      </c>
      <c r="J16" s="291">
        <f t="shared" si="0"/>
        <v>1.6304223147354715</v>
      </c>
      <c r="K16" s="293">
        <v>708</v>
      </c>
      <c r="L16" s="144"/>
    </row>
    <row r="17" spans="1:12" ht="13.5" thickBot="1">
      <c r="A17" s="292"/>
      <c r="B17" s="314"/>
      <c r="C17" s="213"/>
      <c r="D17" s="213" t="s">
        <v>22</v>
      </c>
      <c r="E17" s="294" t="s">
        <v>23</v>
      </c>
      <c r="F17" s="124" t="s">
        <v>67</v>
      </c>
      <c r="G17" s="127">
        <v>1</v>
      </c>
      <c r="H17" s="127">
        <v>59.683999999999997</v>
      </c>
      <c r="I17" s="127">
        <v>75</v>
      </c>
      <c r="J17" s="291">
        <f t="shared" si="0"/>
        <v>1.256618189129415</v>
      </c>
      <c r="K17" s="293">
        <v>706</v>
      </c>
      <c r="L17" s="144"/>
    </row>
    <row r="18" spans="1:12" ht="13.5" thickBot="1">
      <c r="A18" s="292"/>
      <c r="B18" s="314"/>
      <c r="C18" s="213"/>
      <c r="D18" s="213" t="s">
        <v>24</v>
      </c>
      <c r="E18" s="294" t="s">
        <v>25</v>
      </c>
      <c r="F18" s="124" t="s">
        <v>14</v>
      </c>
      <c r="G18" s="127">
        <v>3350</v>
      </c>
      <c r="H18" s="127">
        <v>72.418999999999997</v>
      </c>
      <c r="I18" s="127">
        <v>3250</v>
      </c>
      <c r="J18" s="291">
        <f t="shared" si="0"/>
        <v>44.87772545878844</v>
      </c>
      <c r="K18" s="293">
        <v>703</v>
      </c>
      <c r="L18" s="144"/>
    </row>
    <row r="19" spans="1:12" ht="13.5" customHeight="1" thickBot="1">
      <c r="A19" s="292"/>
      <c r="B19" s="314"/>
      <c r="C19" s="213" t="s">
        <v>26</v>
      </c>
      <c r="D19" s="481" t="s">
        <v>27</v>
      </c>
      <c r="E19" s="482"/>
      <c r="F19" s="124" t="s">
        <v>68</v>
      </c>
      <c r="G19" s="127">
        <v>0</v>
      </c>
      <c r="H19" s="127">
        <v>0</v>
      </c>
      <c r="I19" s="127">
        <v>0</v>
      </c>
      <c r="J19" s="291"/>
      <c r="K19" s="293">
        <v>707</v>
      </c>
      <c r="L19" s="144"/>
    </row>
    <row r="20" spans="1:12" ht="30.75" customHeight="1" thickBot="1">
      <c r="A20" s="292"/>
      <c r="B20" s="314"/>
      <c r="C20" s="213" t="s">
        <v>28</v>
      </c>
      <c r="D20" s="479" t="s">
        <v>481</v>
      </c>
      <c r="E20" s="480"/>
      <c r="F20" s="124" t="s">
        <v>92</v>
      </c>
      <c r="G20" s="127">
        <f>G21</f>
        <v>37339.366999999998</v>
      </c>
      <c r="H20" s="127">
        <v>33766.205000000002</v>
      </c>
      <c r="I20" s="127">
        <v>35556.601000000002</v>
      </c>
      <c r="J20" s="291">
        <f t="shared" si="0"/>
        <v>1.0530233113256287</v>
      </c>
      <c r="K20" s="293">
        <v>741</v>
      </c>
      <c r="L20" s="144"/>
    </row>
    <row r="21" spans="1:12" ht="13.5" thickBot="1">
      <c r="A21" s="292"/>
      <c r="B21" s="314"/>
      <c r="C21" s="295"/>
      <c r="D21" s="213" t="s">
        <v>29</v>
      </c>
      <c r="E21" s="296" t="s">
        <v>97</v>
      </c>
      <c r="F21" s="124" t="s">
        <v>98</v>
      </c>
      <c r="G21" s="127">
        <v>37339.366999999998</v>
      </c>
      <c r="H21" s="127">
        <v>33766.205000000002</v>
      </c>
      <c r="I21" s="127">
        <v>35556.601000000002</v>
      </c>
      <c r="J21" s="291">
        <f t="shared" si="0"/>
        <v>1.0530233113256287</v>
      </c>
      <c r="K21" s="293"/>
      <c r="L21" s="144"/>
    </row>
    <row r="22" spans="1:12" ht="13.5" thickBot="1">
      <c r="A22" s="292"/>
      <c r="B22" s="314"/>
      <c r="C22" s="297"/>
      <c r="D22" s="213" t="s">
        <v>30</v>
      </c>
      <c r="E22" s="296" t="s">
        <v>99</v>
      </c>
      <c r="F22" s="124" t="s">
        <v>100</v>
      </c>
      <c r="G22" s="127">
        <v>0</v>
      </c>
      <c r="H22" s="127">
        <v>0</v>
      </c>
      <c r="I22" s="127"/>
      <c r="J22" s="291"/>
      <c r="K22" s="293"/>
      <c r="L22" s="144"/>
    </row>
    <row r="23" spans="1:12" ht="13.5" thickBot="1">
      <c r="A23" s="292"/>
      <c r="B23" s="314"/>
      <c r="C23" s="213"/>
      <c r="D23" s="213" t="s">
        <v>31</v>
      </c>
      <c r="E23" s="213" t="s">
        <v>101</v>
      </c>
      <c r="F23" s="124" t="s">
        <v>102</v>
      </c>
      <c r="G23" s="127">
        <v>0</v>
      </c>
      <c r="H23" s="127">
        <v>0</v>
      </c>
      <c r="I23" s="127"/>
      <c r="J23" s="291"/>
      <c r="K23" s="293"/>
      <c r="L23" s="144"/>
    </row>
    <row r="24" spans="1:12" ht="13.5" customHeight="1" thickBot="1">
      <c r="A24" s="292"/>
      <c r="B24" s="314"/>
      <c r="C24" s="213" t="s">
        <v>155</v>
      </c>
      <c r="D24" s="481" t="s">
        <v>32</v>
      </c>
      <c r="E24" s="482"/>
      <c r="F24" s="124" t="s">
        <v>103</v>
      </c>
      <c r="G24" s="127">
        <v>4500</v>
      </c>
      <c r="H24" s="127">
        <v>692.41399999999999</v>
      </c>
      <c r="I24" s="127">
        <v>4000</v>
      </c>
      <c r="J24" s="291">
        <f t="shared" si="0"/>
        <v>5.7768907041163233</v>
      </c>
      <c r="K24" s="293">
        <v>722</v>
      </c>
      <c r="L24" s="144"/>
    </row>
    <row r="25" spans="1:12" ht="13.5" customHeight="1" thickBot="1">
      <c r="A25" s="292"/>
      <c r="B25" s="315"/>
      <c r="C25" s="213" t="s">
        <v>94</v>
      </c>
      <c r="D25" s="479" t="s">
        <v>33</v>
      </c>
      <c r="E25" s="480"/>
      <c r="F25" s="124" t="s">
        <v>104</v>
      </c>
      <c r="G25" s="127">
        <v>300</v>
      </c>
      <c r="H25" s="127">
        <v>304.69499999999999</v>
      </c>
      <c r="I25" s="127">
        <v>150</v>
      </c>
      <c r="J25" s="291">
        <f t="shared" si="0"/>
        <v>0.49229557426278736</v>
      </c>
      <c r="K25" s="293">
        <v>711</v>
      </c>
      <c r="L25" s="144"/>
    </row>
    <row r="26" spans="1:12" ht="13.5" customHeight="1" thickBot="1">
      <c r="A26" s="292"/>
      <c r="B26" s="283"/>
      <c r="C26" s="213" t="s">
        <v>105</v>
      </c>
      <c r="D26" s="479" t="s">
        <v>34</v>
      </c>
      <c r="E26" s="480"/>
      <c r="F26" s="124" t="s">
        <v>106</v>
      </c>
      <c r="G26" s="127">
        <f>G27+G28+G31+G32+G33</f>
        <v>3450</v>
      </c>
      <c r="H26" s="127">
        <f>H27+H28+H31+H32+H33</f>
        <v>3548.4169999999999</v>
      </c>
      <c r="I26" s="127">
        <f>I27+I28+I31+I32+I33</f>
        <v>1782</v>
      </c>
      <c r="J26" s="291">
        <f t="shared" si="0"/>
        <v>0.50219576785930176</v>
      </c>
      <c r="K26" s="293"/>
      <c r="L26" s="144"/>
    </row>
    <row r="27" spans="1:12" ht="13.5" thickBot="1">
      <c r="A27" s="292"/>
      <c r="B27" s="283"/>
      <c r="C27" s="213"/>
      <c r="D27" s="288" t="s">
        <v>174</v>
      </c>
      <c r="E27" s="213" t="s">
        <v>35</v>
      </c>
      <c r="F27" s="124" t="s">
        <v>107</v>
      </c>
      <c r="G27" s="127">
        <v>2000</v>
      </c>
      <c r="H27" s="127">
        <v>1484.923</v>
      </c>
      <c r="I27" s="127">
        <v>1500</v>
      </c>
      <c r="J27" s="291">
        <f t="shared" si="0"/>
        <v>1.0101533884248544</v>
      </c>
      <c r="K27" s="293">
        <v>7581</v>
      </c>
      <c r="L27" s="144"/>
    </row>
    <row r="28" spans="1:12" ht="26.25" thickBot="1">
      <c r="A28" s="292"/>
      <c r="B28" s="283"/>
      <c r="C28" s="213"/>
      <c r="D28" s="288" t="s">
        <v>175</v>
      </c>
      <c r="E28" s="296" t="s">
        <v>36</v>
      </c>
      <c r="F28" s="124" t="s">
        <v>108</v>
      </c>
      <c r="G28" s="127">
        <f>G29+G30</f>
        <v>200</v>
      </c>
      <c r="H28" s="127">
        <v>11</v>
      </c>
      <c r="I28" s="127">
        <v>10</v>
      </c>
      <c r="J28" s="291">
        <f t="shared" si="0"/>
        <v>0.90909090909090906</v>
      </c>
      <c r="K28" s="293"/>
      <c r="L28" s="144"/>
    </row>
    <row r="29" spans="1:12" ht="13.5" thickBot="1">
      <c r="A29" s="292"/>
      <c r="B29" s="283"/>
      <c r="C29" s="213"/>
      <c r="D29" s="213"/>
      <c r="E29" s="213" t="s">
        <v>37</v>
      </c>
      <c r="F29" s="124" t="s">
        <v>109</v>
      </c>
      <c r="G29" s="127">
        <f>(500000-300000)/1000</f>
        <v>200</v>
      </c>
      <c r="H29" s="127">
        <v>11</v>
      </c>
      <c r="I29" s="127">
        <v>10</v>
      </c>
      <c r="J29" s="291">
        <f t="shared" si="0"/>
        <v>0.90909090909090906</v>
      </c>
      <c r="K29" s="293" t="s">
        <v>760</v>
      </c>
      <c r="L29" s="144"/>
    </row>
    <row r="30" spans="1:12" ht="13.5" thickBot="1">
      <c r="A30" s="292"/>
      <c r="B30" s="283"/>
      <c r="C30" s="213"/>
      <c r="D30" s="213"/>
      <c r="E30" s="213" t="s">
        <v>38</v>
      </c>
      <c r="F30" s="124" t="s">
        <v>110</v>
      </c>
      <c r="G30" s="127"/>
      <c r="H30" s="127">
        <v>0</v>
      </c>
      <c r="I30" s="127">
        <v>0</v>
      </c>
      <c r="J30" s="291"/>
      <c r="K30" s="293"/>
      <c r="L30" s="144"/>
    </row>
    <row r="31" spans="1:12" ht="13.5" thickBot="1">
      <c r="A31" s="292"/>
      <c r="B31" s="283"/>
      <c r="C31" s="213"/>
      <c r="D31" s="288" t="s">
        <v>176</v>
      </c>
      <c r="E31" s="213" t="s">
        <v>39</v>
      </c>
      <c r="F31" s="124" t="s">
        <v>111</v>
      </c>
      <c r="G31" s="127">
        <v>250</v>
      </c>
      <c r="H31" s="127">
        <v>271.14</v>
      </c>
      <c r="I31" s="127">
        <v>272</v>
      </c>
      <c r="J31" s="291">
        <f t="shared" si="0"/>
        <v>1.0031717931695803</v>
      </c>
      <c r="K31" s="293">
        <v>7584</v>
      </c>
      <c r="L31" s="144"/>
    </row>
    <row r="32" spans="1:12" ht="15.75" thickBot="1">
      <c r="A32" s="292"/>
      <c r="B32" s="283"/>
      <c r="C32" s="213"/>
      <c r="D32" s="298" t="s">
        <v>177</v>
      </c>
      <c r="E32" s="213" t="s">
        <v>40</v>
      </c>
      <c r="F32" s="124" t="s">
        <v>112</v>
      </c>
      <c r="G32" s="127">
        <v>1000</v>
      </c>
      <c r="H32" s="127">
        <v>1766.681</v>
      </c>
      <c r="I32" s="127">
        <v>0</v>
      </c>
      <c r="J32" s="291">
        <f t="shared" si="0"/>
        <v>0</v>
      </c>
      <c r="K32" s="293" t="s">
        <v>778</v>
      </c>
      <c r="L32" s="144"/>
    </row>
    <row r="33" spans="1:12" ht="13.5" customHeight="1" thickBot="1">
      <c r="A33" s="292"/>
      <c r="B33" s="283"/>
      <c r="C33" s="213"/>
      <c r="D33" s="288" t="s">
        <v>178</v>
      </c>
      <c r="E33" s="213" t="s">
        <v>25</v>
      </c>
      <c r="F33" s="124" t="s">
        <v>113</v>
      </c>
      <c r="G33" s="127">
        <v>0</v>
      </c>
      <c r="H33" s="127">
        <f>(14673)/1000</f>
        <v>14.673</v>
      </c>
      <c r="I33" s="127">
        <v>0</v>
      </c>
      <c r="J33" s="291">
        <f t="shared" si="0"/>
        <v>0</v>
      </c>
      <c r="K33" s="293" t="s">
        <v>761</v>
      </c>
      <c r="L33" s="144"/>
    </row>
    <row r="34" spans="1:12" ht="13.5" customHeight="1" thickBot="1">
      <c r="A34" s="292"/>
      <c r="B34" s="283" t="s">
        <v>5</v>
      </c>
      <c r="C34" s="213"/>
      <c r="D34" s="479" t="s">
        <v>41</v>
      </c>
      <c r="E34" s="480"/>
      <c r="F34" s="124" t="s">
        <v>114</v>
      </c>
      <c r="G34" s="127">
        <f>G35+G36+G37+G38+G39</f>
        <v>225</v>
      </c>
      <c r="H34" s="127">
        <f>H35+H36+H37+H38+H39</f>
        <v>720.00399999999991</v>
      </c>
      <c r="I34" s="127">
        <v>400</v>
      </c>
      <c r="J34" s="291">
        <f t="shared" si="0"/>
        <v>0.5555524691529492</v>
      </c>
      <c r="K34" s="290"/>
      <c r="L34" s="144"/>
    </row>
    <row r="35" spans="1:12" ht="13.5" thickBot="1">
      <c r="A35" s="292"/>
      <c r="B35" s="313"/>
      <c r="C35" s="213" t="s">
        <v>93</v>
      </c>
      <c r="D35" s="481" t="s">
        <v>42</v>
      </c>
      <c r="E35" s="482"/>
      <c r="F35" s="124" t="s">
        <v>115</v>
      </c>
      <c r="G35" s="127"/>
      <c r="H35" s="127"/>
      <c r="I35" s="127"/>
      <c r="J35" s="291"/>
      <c r="K35" s="290"/>
      <c r="L35" s="144"/>
    </row>
    <row r="36" spans="1:12" ht="13.5" thickBot="1">
      <c r="A36" s="292"/>
      <c r="B36" s="314"/>
      <c r="C36" s="213" t="s">
        <v>26</v>
      </c>
      <c r="D36" s="481" t="s">
        <v>43</v>
      </c>
      <c r="E36" s="482"/>
      <c r="F36" s="124" t="s">
        <v>116</v>
      </c>
      <c r="G36" s="127"/>
      <c r="H36" s="127"/>
      <c r="I36" s="127"/>
      <c r="J36" s="291"/>
      <c r="K36" s="293"/>
      <c r="L36" s="144"/>
    </row>
    <row r="37" spans="1:12" ht="13.5" thickBot="1">
      <c r="A37" s="292"/>
      <c r="B37" s="314"/>
      <c r="C37" s="213" t="s">
        <v>28</v>
      </c>
      <c r="D37" s="481" t="s">
        <v>44</v>
      </c>
      <c r="E37" s="482"/>
      <c r="F37" s="124" t="s">
        <v>117</v>
      </c>
      <c r="G37" s="127">
        <v>0</v>
      </c>
      <c r="H37" s="127">
        <v>0.20899999999999999</v>
      </c>
      <c r="I37" s="127">
        <v>0</v>
      </c>
      <c r="J37" s="291">
        <f t="shared" si="0"/>
        <v>0</v>
      </c>
      <c r="K37" s="293">
        <v>765</v>
      </c>
      <c r="L37" s="144"/>
    </row>
    <row r="38" spans="1:12" ht="13.5" thickBot="1">
      <c r="A38" s="292"/>
      <c r="B38" s="314"/>
      <c r="C38" s="213" t="s">
        <v>482</v>
      </c>
      <c r="D38" s="481" t="s">
        <v>45</v>
      </c>
      <c r="E38" s="482"/>
      <c r="F38" s="124" t="s">
        <v>118</v>
      </c>
      <c r="G38" s="127">
        <v>0</v>
      </c>
      <c r="H38" s="127">
        <v>14.561999999999999</v>
      </c>
      <c r="I38" s="127">
        <v>0</v>
      </c>
      <c r="J38" s="291">
        <f t="shared" si="0"/>
        <v>0</v>
      </c>
      <c r="K38" s="293">
        <v>766</v>
      </c>
      <c r="L38" s="144"/>
    </row>
    <row r="39" spans="1:12" ht="13.5" thickBot="1">
      <c r="A39" s="292"/>
      <c r="B39" s="315"/>
      <c r="C39" s="213" t="s">
        <v>46</v>
      </c>
      <c r="D39" s="481" t="s">
        <v>47</v>
      </c>
      <c r="E39" s="482"/>
      <c r="F39" s="124" t="s">
        <v>119</v>
      </c>
      <c r="G39" s="127">
        <v>225</v>
      </c>
      <c r="H39" s="127">
        <v>705.23299999999995</v>
      </c>
      <c r="I39" s="127">
        <v>400</v>
      </c>
      <c r="J39" s="291"/>
      <c r="K39" s="293">
        <v>767.76800000000003</v>
      </c>
      <c r="L39" s="144"/>
    </row>
    <row r="40" spans="1:12" ht="13.5" thickBot="1">
      <c r="A40" s="285"/>
      <c r="B40" s="283" t="s">
        <v>48</v>
      </c>
      <c r="C40" s="213"/>
      <c r="D40" s="481" t="s">
        <v>49</v>
      </c>
      <c r="E40" s="482"/>
      <c r="F40" s="124" t="s">
        <v>120</v>
      </c>
      <c r="G40" s="127"/>
      <c r="H40" s="127"/>
      <c r="I40" s="127"/>
      <c r="J40" s="291"/>
      <c r="K40" s="290"/>
      <c r="L40" s="144"/>
    </row>
    <row r="41" spans="1:12" ht="13.5" customHeight="1" thickBot="1">
      <c r="A41" s="287" t="s">
        <v>77</v>
      </c>
      <c r="B41" s="495" t="s">
        <v>212</v>
      </c>
      <c r="C41" s="496"/>
      <c r="D41" s="496"/>
      <c r="E41" s="497"/>
      <c r="F41" s="287" t="s">
        <v>121</v>
      </c>
      <c r="G41" s="159">
        <f>G42+G142+G150</f>
        <v>213393.38899999997</v>
      </c>
      <c r="H41" s="159">
        <f>H42+H142+H150</f>
        <v>227112.63799999998</v>
      </c>
      <c r="I41" s="159">
        <f>I42+I142+I150</f>
        <v>206670.71400000001</v>
      </c>
      <c r="J41" s="289">
        <f t="shared" si="0"/>
        <v>0.909992133506899</v>
      </c>
      <c r="K41" s="290"/>
      <c r="L41" s="144"/>
    </row>
    <row r="42" spans="1:12" ht="13.5" customHeight="1" thickBot="1">
      <c r="A42" s="281"/>
      <c r="B42" s="197" t="s">
        <v>3</v>
      </c>
      <c r="C42" s="492" t="s">
        <v>483</v>
      </c>
      <c r="D42" s="493"/>
      <c r="E42" s="494"/>
      <c r="F42" s="287" t="s">
        <v>484</v>
      </c>
      <c r="G42" s="159">
        <f>G43+G91+G98+G127</f>
        <v>204393.38899999997</v>
      </c>
      <c r="H42" s="159">
        <f>H43+H91+H98+H127</f>
        <v>220193.60499999998</v>
      </c>
      <c r="I42" s="159">
        <f>I43+I91+I98+I127</f>
        <v>200779.829</v>
      </c>
      <c r="J42" s="289">
        <f t="shared" si="0"/>
        <v>0.91183315246598562</v>
      </c>
      <c r="K42" s="290"/>
      <c r="L42" s="144"/>
    </row>
    <row r="43" spans="1:12" ht="13.5" customHeight="1" thickBot="1">
      <c r="A43" s="292"/>
      <c r="B43" s="313"/>
      <c r="C43" s="492" t="s">
        <v>485</v>
      </c>
      <c r="D43" s="493"/>
      <c r="E43" s="494"/>
      <c r="F43" s="287" t="s">
        <v>486</v>
      </c>
      <c r="G43" s="127">
        <f>G44+G52+G58</f>
        <v>137421.59399999998</v>
      </c>
      <c r="H43" s="127">
        <f>H44+H52+H58</f>
        <v>147910.81699999998</v>
      </c>
      <c r="I43" s="127">
        <f>I44+I52+I58</f>
        <v>125822.872</v>
      </c>
      <c r="J43" s="291">
        <f t="shared" si="0"/>
        <v>0.85066714221448736</v>
      </c>
      <c r="K43" s="299"/>
      <c r="L43" s="144"/>
    </row>
    <row r="44" spans="1:12" ht="13.5" thickBot="1">
      <c r="A44" s="292"/>
      <c r="B44" s="314"/>
      <c r="C44" s="288" t="s">
        <v>487</v>
      </c>
      <c r="D44" s="492" t="s">
        <v>488</v>
      </c>
      <c r="E44" s="494"/>
      <c r="F44" s="287" t="s">
        <v>489</v>
      </c>
      <c r="G44" s="159">
        <f>G45+G46+G49+G50+G51</f>
        <v>129840.59399999998</v>
      </c>
      <c r="H44" s="159">
        <f>H45+H46+H49+H50+H51</f>
        <v>140110.79999999999</v>
      </c>
      <c r="I44" s="159">
        <f>I45+I46+I49+I50+I51</f>
        <v>118342.872</v>
      </c>
      <c r="J44" s="289">
        <f t="shared" si="0"/>
        <v>0.84463775811714736</v>
      </c>
      <c r="K44" s="290"/>
      <c r="L44" s="144"/>
    </row>
    <row r="45" spans="1:12" ht="13.5" thickBot="1">
      <c r="A45" s="292"/>
      <c r="B45" s="314"/>
      <c r="C45" s="213" t="s">
        <v>93</v>
      </c>
      <c r="D45" s="481" t="s">
        <v>490</v>
      </c>
      <c r="E45" s="482"/>
      <c r="F45" s="124" t="s">
        <v>491</v>
      </c>
      <c r="G45" s="127">
        <v>28462.825000000001</v>
      </c>
      <c r="H45" s="127">
        <v>31270.762999999999</v>
      </c>
      <c r="I45" s="127">
        <v>40742.803</v>
      </c>
      <c r="J45" s="291">
        <f t="shared" si="0"/>
        <v>1.302904025718848</v>
      </c>
      <c r="K45" s="293" t="s">
        <v>821</v>
      </c>
      <c r="L45" s="144"/>
    </row>
    <row r="46" spans="1:12" ht="13.5" thickBot="1">
      <c r="A46" s="292"/>
      <c r="B46" s="314"/>
      <c r="C46" s="213" t="s">
        <v>149</v>
      </c>
      <c r="D46" s="479" t="s">
        <v>492</v>
      </c>
      <c r="E46" s="480"/>
      <c r="F46" s="124" t="s">
        <v>493</v>
      </c>
      <c r="G46" s="127">
        <f>(3750+G48)</f>
        <v>85337.29</v>
      </c>
      <c r="H46" s="127">
        <v>92191.51</v>
      </c>
      <c r="I46" s="127">
        <v>63704.946000000004</v>
      </c>
      <c r="J46" s="291">
        <f t="shared" si="0"/>
        <v>0.69100664475503226</v>
      </c>
      <c r="K46" s="290" t="s">
        <v>748</v>
      </c>
      <c r="L46" s="144"/>
    </row>
    <row r="47" spans="1:12" ht="13.5" thickBot="1">
      <c r="A47" s="292"/>
      <c r="B47" s="314"/>
      <c r="C47" s="213"/>
      <c r="D47" s="213" t="s">
        <v>215</v>
      </c>
      <c r="E47" s="213" t="s">
        <v>494</v>
      </c>
      <c r="F47" s="124" t="s">
        <v>495</v>
      </c>
      <c r="G47" s="127">
        <v>700</v>
      </c>
      <c r="H47" s="127">
        <v>776.20299999999997</v>
      </c>
      <c r="I47" s="127">
        <v>800</v>
      </c>
      <c r="J47" s="291">
        <f t="shared" si="0"/>
        <v>1.0306582169870511</v>
      </c>
      <c r="K47" s="293">
        <v>6024</v>
      </c>
      <c r="L47" s="144"/>
    </row>
    <row r="48" spans="1:12" ht="13.5" customHeight="1" thickBot="1">
      <c r="A48" s="292"/>
      <c r="B48" s="314"/>
      <c r="C48" s="213"/>
      <c r="D48" s="213" t="s">
        <v>239</v>
      </c>
      <c r="E48" s="213" t="s">
        <v>496</v>
      </c>
      <c r="F48" s="124" t="s">
        <v>497</v>
      </c>
      <c r="G48" s="127">
        <v>81587.289999999994</v>
      </c>
      <c r="H48" s="127">
        <v>88846.705000000002</v>
      </c>
      <c r="I48" s="127">
        <f>(59504946+1200000)/1000</f>
        <v>60704.946000000004</v>
      </c>
      <c r="J48" s="291">
        <f t="shared" si="0"/>
        <v>0.68325489392093952</v>
      </c>
      <c r="K48" s="293" t="s">
        <v>749</v>
      </c>
      <c r="L48" s="144"/>
    </row>
    <row r="49" spans="1:12" ht="13.5" customHeight="1" thickBot="1">
      <c r="A49" s="292"/>
      <c r="B49" s="314"/>
      <c r="C49" s="300" t="s">
        <v>152</v>
      </c>
      <c r="D49" s="479" t="s">
        <v>498</v>
      </c>
      <c r="E49" s="480"/>
      <c r="F49" s="124" t="s">
        <v>499</v>
      </c>
      <c r="G49" s="127">
        <f>(140000+1000)/1000</f>
        <v>141</v>
      </c>
      <c r="H49" s="127">
        <v>340.07400000000001</v>
      </c>
      <c r="I49" s="127">
        <v>350.25</v>
      </c>
      <c r="J49" s="291">
        <f t="shared" si="0"/>
        <v>1.0299228991337179</v>
      </c>
      <c r="K49" s="293" t="s">
        <v>750</v>
      </c>
      <c r="L49" s="144"/>
    </row>
    <row r="50" spans="1:12" ht="13.5" thickBot="1">
      <c r="A50" s="292"/>
      <c r="B50" s="314"/>
      <c r="C50" s="213" t="s">
        <v>155</v>
      </c>
      <c r="D50" s="481" t="s">
        <v>500</v>
      </c>
      <c r="E50" s="482"/>
      <c r="F50" s="124" t="s">
        <v>501</v>
      </c>
      <c r="G50" s="127">
        <v>15899.478999999999</v>
      </c>
      <c r="H50" s="127">
        <v>16308.453</v>
      </c>
      <c r="I50" s="127">
        <v>13544.873</v>
      </c>
      <c r="J50" s="291">
        <f t="shared" si="0"/>
        <v>0.83054309320448727</v>
      </c>
      <c r="K50" s="293">
        <v>605</v>
      </c>
      <c r="L50" s="144"/>
    </row>
    <row r="51" spans="1:12" ht="13.5" customHeight="1" thickBot="1">
      <c r="A51" s="292"/>
      <c r="B51" s="314"/>
      <c r="C51" s="213" t="s">
        <v>94</v>
      </c>
      <c r="D51" s="481" t="s">
        <v>502</v>
      </c>
      <c r="E51" s="482"/>
      <c r="F51" s="124" t="s">
        <v>503</v>
      </c>
      <c r="G51" s="127">
        <v>0</v>
      </c>
      <c r="H51" s="127">
        <v>0</v>
      </c>
      <c r="I51" s="127">
        <v>0</v>
      </c>
      <c r="J51" s="291"/>
      <c r="K51" s="293">
        <v>607</v>
      </c>
      <c r="L51" s="144"/>
    </row>
    <row r="52" spans="1:12" ht="13.5" customHeight="1" thickBot="1">
      <c r="A52" s="292"/>
      <c r="B52" s="316"/>
      <c r="C52" s="288" t="s">
        <v>504</v>
      </c>
      <c r="D52" s="492" t="s">
        <v>505</v>
      </c>
      <c r="E52" s="494"/>
      <c r="F52" s="287" t="s">
        <v>506</v>
      </c>
      <c r="G52" s="159">
        <f>G53+G54+G57</f>
        <v>2945</v>
      </c>
      <c r="H52" s="159">
        <f>H53+H54+H57</f>
        <v>3205.864</v>
      </c>
      <c r="I52" s="159">
        <f>I53+I54+I57</f>
        <v>2950</v>
      </c>
      <c r="J52" s="289">
        <f t="shared" si="0"/>
        <v>0.92018875410809686</v>
      </c>
      <c r="K52" s="299"/>
      <c r="L52" s="144"/>
    </row>
    <row r="53" spans="1:12" ht="13.5" thickBot="1">
      <c r="A53" s="292"/>
      <c r="B53" s="314"/>
      <c r="C53" s="213" t="s">
        <v>93</v>
      </c>
      <c r="D53" s="481" t="s">
        <v>507</v>
      </c>
      <c r="E53" s="482"/>
      <c r="F53" s="124" t="s">
        <v>508</v>
      </c>
      <c r="G53" s="127">
        <v>2425</v>
      </c>
      <c r="H53" s="127">
        <v>2708.0410000000002</v>
      </c>
      <c r="I53" s="127">
        <v>2500</v>
      </c>
      <c r="J53" s="291">
        <f t="shared" si="0"/>
        <v>0.92317656933554548</v>
      </c>
      <c r="K53" s="301">
        <v>611</v>
      </c>
      <c r="L53" s="144"/>
    </row>
    <row r="54" spans="1:12" ht="13.5" thickBot="1">
      <c r="A54" s="292"/>
      <c r="B54" s="314"/>
      <c r="C54" s="213" t="s">
        <v>149</v>
      </c>
      <c r="D54" s="479" t="s">
        <v>509</v>
      </c>
      <c r="E54" s="480"/>
      <c r="F54" s="124" t="s">
        <v>510</v>
      </c>
      <c r="G54" s="127">
        <f>(G55+G56)</f>
        <v>400</v>
      </c>
      <c r="H54" s="127">
        <v>383.73700000000002</v>
      </c>
      <c r="I54" s="127">
        <v>350</v>
      </c>
      <c r="J54" s="291">
        <f t="shared" si="0"/>
        <v>0.91208301519009105</v>
      </c>
      <c r="K54" s="299" t="s">
        <v>737</v>
      </c>
      <c r="L54" s="144"/>
    </row>
    <row r="55" spans="1:12" ht="13.5" thickBot="1">
      <c r="A55" s="292"/>
      <c r="B55" s="314"/>
      <c r="C55" s="213"/>
      <c r="D55" s="213" t="s">
        <v>511</v>
      </c>
      <c r="E55" s="296" t="s">
        <v>305</v>
      </c>
      <c r="F55" s="124" t="s">
        <v>340</v>
      </c>
      <c r="G55" s="127">
        <v>250</v>
      </c>
      <c r="H55" s="127">
        <v>241.911</v>
      </c>
      <c r="I55" s="127">
        <v>250</v>
      </c>
      <c r="J55" s="291">
        <f t="shared" si="0"/>
        <v>1.033437917250559</v>
      </c>
      <c r="K55" s="299"/>
      <c r="L55" s="144"/>
    </row>
    <row r="56" spans="1:12" ht="13.5" thickBot="1">
      <c r="A56" s="292"/>
      <c r="B56" s="314"/>
      <c r="C56" s="213"/>
      <c r="D56" s="213" t="s">
        <v>239</v>
      </c>
      <c r="E56" s="213" t="s">
        <v>306</v>
      </c>
      <c r="F56" s="124" t="s">
        <v>341</v>
      </c>
      <c r="G56" s="127">
        <v>150</v>
      </c>
      <c r="H56" s="127">
        <v>141.82599999999999</v>
      </c>
      <c r="I56" s="127">
        <v>100</v>
      </c>
      <c r="J56" s="291">
        <f t="shared" si="0"/>
        <v>0.7050893348187216</v>
      </c>
      <c r="K56" s="299"/>
      <c r="L56" s="144"/>
    </row>
    <row r="57" spans="1:12" ht="13.5" customHeight="1" thickBot="1">
      <c r="A57" s="292"/>
      <c r="B57" s="314"/>
      <c r="C57" s="213" t="s">
        <v>152</v>
      </c>
      <c r="D57" s="504" t="s">
        <v>307</v>
      </c>
      <c r="E57" s="505"/>
      <c r="F57" s="124" t="s">
        <v>342</v>
      </c>
      <c r="G57" s="127">
        <v>120</v>
      </c>
      <c r="H57" s="127">
        <v>114.086</v>
      </c>
      <c r="I57" s="127">
        <v>100</v>
      </c>
      <c r="J57" s="291">
        <f t="shared" si="0"/>
        <v>0.87653173921427696</v>
      </c>
      <c r="K57" s="293">
        <v>613</v>
      </c>
      <c r="L57" s="144"/>
    </row>
    <row r="58" spans="1:12" ht="13.5" customHeight="1" thickBot="1">
      <c r="A58" s="292"/>
      <c r="B58" s="314"/>
      <c r="C58" s="288" t="s">
        <v>308</v>
      </c>
      <c r="D58" s="511" t="s">
        <v>512</v>
      </c>
      <c r="E58" s="512"/>
      <c r="F58" s="287" t="s">
        <v>343</v>
      </c>
      <c r="G58" s="159">
        <f>G59+G60+G62+G74+G75+G79+G80+G81+G90</f>
        <v>4636</v>
      </c>
      <c r="H58" s="159">
        <f>H59+H60+H62+H74+H75+H79+H80+H81+H90</f>
        <v>4594.1530000000002</v>
      </c>
      <c r="I58" s="159">
        <f>I59+I60+I62+I69+I74+I75+I79+I80+I81+I90</f>
        <v>4530</v>
      </c>
      <c r="J58" s="289">
        <f t="shared" si="0"/>
        <v>0.98603594612543377</v>
      </c>
      <c r="K58" s="299"/>
      <c r="L58" s="144"/>
    </row>
    <row r="59" spans="1:12" ht="13.5" thickBot="1">
      <c r="A59" s="292"/>
      <c r="B59" s="314"/>
      <c r="C59" s="213" t="s">
        <v>93</v>
      </c>
      <c r="D59" s="504" t="s">
        <v>310</v>
      </c>
      <c r="E59" s="505"/>
      <c r="F59" s="124" t="s">
        <v>344</v>
      </c>
      <c r="G59" s="127"/>
      <c r="H59" s="127">
        <v>0</v>
      </c>
      <c r="I59" s="127"/>
      <c r="J59" s="291"/>
      <c r="K59" s="299"/>
      <c r="L59" s="144"/>
    </row>
    <row r="60" spans="1:12" ht="13.5" thickBot="1">
      <c r="A60" s="292"/>
      <c r="B60" s="314"/>
      <c r="C60" s="213" t="s">
        <v>149</v>
      </c>
      <c r="D60" s="509" t="s">
        <v>311</v>
      </c>
      <c r="E60" s="510"/>
      <c r="F60" s="124" t="s">
        <v>345</v>
      </c>
      <c r="G60" s="127">
        <v>300</v>
      </c>
      <c r="H60" s="127">
        <v>237.066</v>
      </c>
      <c r="I60" s="127">
        <v>0</v>
      </c>
      <c r="J60" s="291">
        <f t="shared" si="0"/>
        <v>0</v>
      </c>
      <c r="K60" s="293">
        <v>622</v>
      </c>
      <c r="L60" s="144"/>
    </row>
    <row r="61" spans="1:12" ht="13.5" customHeight="1" thickBot="1">
      <c r="A61" s="292"/>
      <c r="B61" s="314"/>
      <c r="C61" s="213"/>
      <c r="D61" s="213" t="s">
        <v>511</v>
      </c>
      <c r="E61" s="296" t="s">
        <v>513</v>
      </c>
      <c r="F61" s="124" t="s">
        <v>346</v>
      </c>
      <c r="G61" s="127">
        <v>300</v>
      </c>
      <c r="H61" s="127">
        <v>237.066</v>
      </c>
      <c r="I61" s="127">
        <v>0</v>
      </c>
      <c r="J61" s="291">
        <f t="shared" si="0"/>
        <v>0</v>
      </c>
      <c r="K61" s="302"/>
      <c r="L61" s="144"/>
    </row>
    <row r="62" spans="1:12" ht="13.5" customHeight="1" thickBot="1">
      <c r="A62" s="292"/>
      <c r="B62" s="314"/>
      <c r="C62" s="213" t="s">
        <v>152</v>
      </c>
      <c r="D62" s="479" t="s">
        <v>312</v>
      </c>
      <c r="E62" s="480"/>
      <c r="F62" s="124" t="s">
        <v>347</v>
      </c>
      <c r="G62" s="127">
        <f>G63+G65</f>
        <v>39</v>
      </c>
      <c r="H62" s="127">
        <f>H63+H65</f>
        <v>60.695999999999998</v>
      </c>
      <c r="I62" s="127">
        <f>I63+I65</f>
        <v>85</v>
      </c>
      <c r="J62" s="291">
        <f t="shared" si="0"/>
        <v>1.4004217740872547</v>
      </c>
      <c r="K62" s="302"/>
      <c r="L62" s="144"/>
    </row>
    <row r="63" spans="1:12" ht="13.5" thickBot="1">
      <c r="A63" s="292"/>
      <c r="B63" s="314"/>
      <c r="C63" s="213"/>
      <c r="D63" s="213" t="s">
        <v>514</v>
      </c>
      <c r="E63" s="213" t="s">
        <v>313</v>
      </c>
      <c r="F63" s="124" t="s">
        <v>348</v>
      </c>
      <c r="G63" s="127">
        <v>29</v>
      </c>
      <c r="H63" s="127">
        <v>56.222000000000001</v>
      </c>
      <c r="I63" s="127">
        <v>56</v>
      </c>
      <c r="J63" s="291">
        <f>I63/H63</f>
        <v>0.99605136779196757</v>
      </c>
      <c r="K63" s="302" t="s">
        <v>747</v>
      </c>
      <c r="L63" s="144"/>
    </row>
    <row r="64" spans="1:12" ht="26.25" thickBot="1">
      <c r="A64" s="292"/>
      <c r="B64" s="314"/>
      <c r="C64" s="213"/>
      <c r="D64" s="213"/>
      <c r="E64" s="296" t="s">
        <v>314</v>
      </c>
      <c r="F64" s="124" t="s">
        <v>349</v>
      </c>
      <c r="G64" s="127">
        <v>0</v>
      </c>
      <c r="H64" s="127">
        <v>0</v>
      </c>
      <c r="I64" s="127">
        <v>0</v>
      </c>
      <c r="J64" s="291"/>
      <c r="K64" s="302"/>
      <c r="L64" s="144"/>
    </row>
    <row r="65" spans="1:12" ht="13.5" thickBot="1">
      <c r="A65" s="292"/>
      <c r="B65" s="314"/>
      <c r="C65" s="213"/>
      <c r="D65" s="213" t="s">
        <v>315</v>
      </c>
      <c r="E65" s="296" t="s">
        <v>316</v>
      </c>
      <c r="F65" s="124" t="s">
        <v>350</v>
      </c>
      <c r="G65" s="127">
        <v>10</v>
      </c>
      <c r="H65" s="127">
        <v>4.4740000000000002</v>
      </c>
      <c r="I65" s="127">
        <v>29</v>
      </c>
      <c r="J65" s="291">
        <f t="shared" si="0"/>
        <v>6.4818953956191327</v>
      </c>
      <c r="K65" s="302" t="s">
        <v>746</v>
      </c>
      <c r="L65" s="144"/>
    </row>
    <row r="66" spans="1:12" ht="26.25" thickBot="1">
      <c r="A66" s="292"/>
      <c r="B66" s="314"/>
      <c r="C66" s="213"/>
      <c r="D66" s="213"/>
      <c r="E66" s="296" t="s">
        <v>515</v>
      </c>
      <c r="F66" s="124" t="s">
        <v>351</v>
      </c>
      <c r="G66" s="127">
        <v>0</v>
      </c>
      <c r="H66" s="127">
        <v>0</v>
      </c>
      <c r="I66" s="127">
        <v>0</v>
      </c>
      <c r="J66" s="291"/>
      <c r="K66" s="302"/>
      <c r="L66" s="144"/>
    </row>
    <row r="67" spans="1:12" ht="39" thickBot="1">
      <c r="A67" s="292"/>
      <c r="B67" s="314"/>
      <c r="C67" s="213"/>
      <c r="D67" s="213"/>
      <c r="E67" s="296" t="s">
        <v>318</v>
      </c>
      <c r="F67" s="124" t="s">
        <v>352</v>
      </c>
      <c r="G67" s="127">
        <v>0</v>
      </c>
      <c r="H67" s="127">
        <v>0</v>
      </c>
      <c r="I67" s="127">
        <v>0</v>
      </c>
      <c r="J67" s="291"/>
      <c r="K67" s="302"/>
      <c r="L67" s="144"/>
    </row>
    <row r="68" spans="1:12" ht="15.75" customHeight="1" thickBot="1">
      <c r="A68" s="292"/>
      <c r="B68" s="314"/>
      <c r="C68" s="213"/>
      <c r="D68" s="213"/>
      <c r="E68" s="213" t="s">
        <v>319</v>
      </c>
      <c r="F68" s="124" t="s">
        <v>353</v>
      </c>
      <c r="G68" s="127">
        <v>10</v>
      </c>
      <c r="H68" s="127">
        <v>4.4740000000000002</v>
      </c>
      <c r="I68" s="127">
        <v>29</v>
      </c>
      <c r="J68" s="291">
        <f t="shared" si="0"/>
        <v>6.4818953956191327</v>
      </c>
      <c r="K68" s="302"/>
      <c r="L68" s="144"/>
    </row>
    <row r="69" spans="1:12" ht="15.75" customHeight="1" thickBot="1">
      <c r="A69" s="292"/>
      <c r="B69" s="314"/>
      <c r="C69" s="213"/>
      <c r="D69" s="479" t="s">
        <v>320</v>
      </c>
      <c r="E69" s="480"/>
      <c r="F69" s="124" t="s">
        <v>354</v>
      </c>
      <c r="G69" s="127">
        <f>G70+G71+G72+G73</f>
        <v>10</v>
      </c>
      <c r="H69" s="127">
        <f>H70+H71+H72+H73</f>
        <v>28</v>
      </c>
      <c r="I69" s="127">
        <f>I70+I71+I72+I73</f>
        <v>25</v>
      </c>
      <c r="J69" s="291">
        <f t="shared" si="0"/>
        <v>0.8928571428571429</v>
      </c>
      <c r="K69" s="293" t="s">
        <v>745</v>
      </c>
      <c r="L69" s="144"/>
    </row>
    <row r="70" spans="1:12" ht="13.5" thickBot="1">
      <c r="A70" s="517"/>
      <c r="B70" s="515"/>
      <c r="C70" s="213"/>
      <c r="D70" s="213" t="s">
        <v>321</v>
      </c>
      <c r="E70" s="303" t="s">
        <v>440</v>
      </c>
      <c r="F70" s="124" t="s">
        <v>122</v>
      </c>
      <c r="G70" s="127"/>
      <c r="H70" s="127"/>
      <c r="I70" s="127"/>
      <c r="J70" s="291"/>
      <c r="K70" s="302"/>
      <c r="L70" s="144"/>
    </row>
    <row r="71" spans="1:12" ht="13.5" thickBot="1">
      <c r="A71" s="518"/>
      <c r="B71" s="516"/>
      <c r="C71" s="213"/>
      <c r="D71" s="213" t="s">
        <v>322</v>
      </c>
      <c r="E71" s="296" t="s">
        <v>434</v>
      </c>
      <c r="F71" s="124" t="s">
        <v>123</v>
      </c>
      <c r="G71" s="127"/>
      <c r="H71" s="127">
        <v>5</v>
      </c>
      <c r="I71" s="127"/>
      <c r="J71" s="291">
        <f t="shared" si="0"/>
        <v>0</v>
      </c>
      <c r="K71" s="302"/>
      <c r="L71" s="144"/>
    </row>
    <row r="72" spans="1:12" ht="13.5" thickBot="1">
      <c r="A72" s="518"/>
      <c r="B72" s="516"/>
      <c r="C72" s="213"/>
      <c r="D72" s="213" t="s">
        <v>323</v>
      </c>
      <c r="E72" s="296" t="s">
        <v>435</v>
      </c>
      <c r="F72" s="124" t="s">
        <v>124</v>
      </c>
      <c r="G72" s="127"/>
      <c r="H72" s="127">
        <v>3</v>
      </c>
      <c r="I72" s="127">
        <v>5</v>
      </c>
      <c r="J72" s="291">
        <f t="shared" si="0"/>
        <v>1.6666666666666667</v>
      </c>
      <c r="K72" s="302"/>
      <c r="L72" s="144"/>
    </row>
    <row r="73" spans="1:12" ht="13.5" thickBot="1">
      <c r="A73" s="518"/>
      <c r="B73" s="516"/>
      <c r="C73" s="213"/>
      <c r="D73" s="213" t="s">
        <v>324</v>
      </c>
      <c r="E73" s="213" t="s">
        <v>416</v>
      </c>
      <c r="F73" s="124" t="s">
        <v>125</v>
      </c>
      <c r="G73" s="127">
        <v>10</v>
      </c>
      <c r="H73" s="127">
        <v>20</v>
      </c>
      <c r="I73" s="127">
        <v>20</v>
      </c>
      <c r="J73" s="291">
        <f t="shared" si="0"/>
        <v>1</v>
      </c>
      <c r="K73" s="302"/>
      <c r="L73" s="144"/>
    </row>
    <row r="74" spans="1:12" ht="26.25" customHeight="1" thickBot="1">
      <c r="A74" s="518"/>
      <c r="B74" s="516"/>
      <c r="C74" s="213" t="s">
        <v>94</v>
      </c>
      <c r="D74" s="508" t="s">
        <v>431</v>
      </c>
      <c r="E74" s="478"/>
      <c r="F74" s="124" t="s">
        <v>126</v>
      </c>
      <c r="G74" s="127">
        <v>93</v>
      </c>
      <c r="H74" s="127">
        <v>97.48</v>
      </c>
      <c r="I74" s="127">
        <v>95</v>
      </c>
      <c r="J74" s="291">
        <f t="shared" si="0"/>
        <v>0.97455888387361511</v>
      </c>
      <c r="K74" s="293">
        <v>624</v>
      </c>
      <c r="L74" s="144"/>
    </row>
    <row r="75" spans="1:12" ht="13.5" thickBot="1">
      <c r="A75" s="518"/>
      <c r="B75" s="516"/>
      <c r="C75" s="213" t="s">
        <v>127</v>
      </c>
      <c r="D75" s="479" t="s">
        <v>326</v>
      </c>
      <c r="E75" s="480"/>
      <c r="F75" s="124" t="s">
        <v>128</v>
      </c>
      <c r="G75" s="127">
        <v>300</v>
      </c>
      <c r="H75" s="127">
        <v>484.70600000000002</v>
      </c>
      <c r="I75" s="127">
        <v>400</v>
      </c>
      <c r="J75" s="291">
        <f t="shared" si="0"/>
        <v>0.82524251814501981</v>
      </c>
      <c r="K75" s="293">
        <v>625</v>
      </c>
      <c r="L75" s="144"/>
    </row>
    <row r="76" spans="1:12" ht="13.5" thickBot="1">
      <c r="A76" s="518"/>
      <c r="B76" s="516"/>
      <c r="C76" s="213"/>
      <c r="D76" s="479" t="s">
        <v>327</v>
      </c>
      <c r="E76" s="480"/>
      <c r="F76" s="124" t="s">
        <v>129</v>
      </c>
      <c r="G76" s="127">
        <f>G77+G78</f>
        <v>109</v>
      </c>
      <c r="H76" s="127">
        <f>H77+H78</f>
        <v>106.247</v>
      </c>
      <c r="I76" s="127">
        <f>I77+I78</f>
        <v>100</v>
      </c>
      <c r="J76" s="291">
        <f t="shared" si="0"/>
        <v>0.94120304573305602</v>
      </c>
      <c r="K76" s="302"/>
      <c r="L76" s="144"/>
    </row>
    <row r="77" spans="1:12" ht="13.5" thickBot="1">
      <c r="A77" s="518"/>
      <c r="B77" s="516"/>
      <c r="C77" s="213"/>
      <c r="D77" s="506" t="s">
        <v>54</v>
      </c>
      <c r="E77" s="507"/>
      <c r="F77" s="124" t="s">
        <v>130</v>
      </c>
      <c r="G77" s="127">
        <v>100</v>
      </c>
      <c r="H77" s="127">
        <v>98</v>
      </c>
      <c r="I77" s="127">
        <v>80</v>
      </c>
      <c r="J77" s="291">
        <f t="shared" si="0"/>
        <v>0.81632653061224492</v>
      </c>
      <c r="K77" s="302"/>
      <c r="L77" s="144"/>
    </row>
    <row r="78" spans="1:12" ht="13.5" thickBot="1">
      <c r="A78" s="518"/>
      <c r="B78" s="516"/>
      <c r="C78" s="213"/>
      <c r="D78" s="506" t="s">
        <v>55</v>
      </c>
      <c r="E78" s="507"/>
      <c r="F78" s="124" t="s">
        <v>131</v>
      </c>
      <c r="G78" s="127">
        <v>9</v>
      </c>
      <c r="H78" s="127">
        <v>8.2469999999999999</v>
      </c>
      <c r="I78" s="263">
        <v>20</v>
      </c>
      <c r="J78" s="291">
        <f t="shared" ref="J78:J138" si="1">I78/H78</f>
        <v>2.4251242876197407</v>
      </c>
      <c r="K78" s="302"/>
      <c r="L78" s="144"/>
    </row>
    <row r="79" spans="1:12" ht="13.5" thickBot="1">
      <c r="A79" s="518"/>
      <c r="B79" s="516"/>
      <c r="C79" s="213" t="s">
        <v>132</v>
      </c>
      <c r="D79" s="481" t="s">
        <v>328</v>
      </c>
      <c r="E79" s="482"/>
      <c r="F79" s="124" t="s">
        <v>133</v>
      </c>
      <c r="G79" s="127">
        <v>275</v>
      </c>
      <c r="H79" s="127">
        <v>329.57299999999998</v>
      </c>
      <c r="I79" s="127">
        <v>315</v>
      </c>
      <c r="J79" s="291">
        <f t="shared" si="1"/>
        <v>0.95578217875857552</v>
      </c>
      <c r="K79" s="293">
        <v>626</v>
      </c>
      <c r="L79" s="144"/>
    </row>
    <row r="80" spans="1:12" ht="13.5" customHeight="1" thickBot="1">
      <c r="A80" s="518"/>
      <c r="B80" s="516"/>
      <c r="C80" s="213" t="s">
        <v>56</v>
      </c>
      <c r="D80" s="481" t="s">
        <v>330</v>
      </c>
      <c r="E80" s="482"/>
      <c r="F80" s="124" t="s">
        <v>134</v>
      </c>
      <c r="G80" s="127">
        <v>900</v>
      </c>
      <c r="H80" s="127">
        <v>778.21299999999997</v>
      </c>
      <c r="I80" s="127">
        <v>770</v>
      </c>
      <c r="J80" s="291">
        <f t="shared" si="1"/>
        <v>0.9894463341013322</v>
      </c>
      <c r="K80" s="293">
        <v>627</v>
      </c>
      <c r="L80" s="144"/>
    </row>
    <row r="81" spans="1:12" ht="18" customHeight="1" thickBot="1">
      <c r="A81" s="518"/>
      <c r="B81" s="516"/>
      <c r="C81" s="213" t="s">
        <v>57</v>
      </c>
      <c r="D81" s="479" t="s">
        <v>332</v>
      </c>
      <c r="E81" s="480"/>
      <c r="F81" s="124" t="s">
        <v>135</v>
      </c>
      <c r="G81" s="127">
        <f>G82+G83+G84+G85+G87+G88</f>
        <v>1225</v>
      </c>
      <c r="H81" s="127">
        <f>H82+H83+H84+H85+H87+H88</f>
        <v>1182.3559999999998</v>
      </c>
      <c r="I81" s="127">
        <f>I82+I83+I84+I85+I87+I88+I89</f>
        <v>1495</v>
      </c>
      <c r="J81" s="291">
        <f t="shared" si="1"/>
        <v>1.2644245895483257</v>
      </c>
      <c r="K81" s="293">
        <v>628</v>
      </c>
      <c r="L81" s="144"/>
    </row>
    <row r="82" spans="1:12" ht="13.5" thickBot="1">
      <c r="A82" s="518"/>
      <c r="B82" s="516"/>
      <c r="C82" s="213"/>
      <c r="D82" s="213" t="s">
        <v>181</v>
      </c>
      <c r="E82" s="213" t="s">
        <v>333</v>
      </c>
      <c r="F82" s="124" t="s">
        <v>136</v>
      </c>
      <c r="G82" s="127">
        <v>1050</v>
      </c>
      <c r="H82" s="127">
        <v>1032.2329999999999</v>
      </c>
      <c r="I82" s="127">
        <f>(1260000+50000)/1000</f>
        <v>1310</v>
      </c>
      <c r="J82" s="291">
        <f t="shared" si="1"/>
        <v>1.2690933151720591</v>
      </c>
      <c r="K82" s="302" t="s">
        <v>742</v>
      </c>
      <c r="L82" s="144"/>
    </row>
    <row r="83" spans="1:12" ht="26.25" thickBot="1">
      <c r="A83" s="518"/>
      <c r="B83" s="516"/>
      <c r="C83" s="213"/>
      <c r="D83" s="213" t="s">
        <v>182</v>
      </c>
      <c r="E83" s="296" t="s">
        <v>432</v>
      </c>
      <c r="F83" s="124" t="s">
        <v>137</v>
      </c>
      <c r="G83" s="127">
        <v>75</v>
      </c>
      <c r="H83" s="127">
        <v>71.158000000000001</v>
      </c>
      <c r="I83" s="127">
        <v>75</v>
      </c>
      <c r="J83" s="291">
        <f t="shared" si="1"/>
        <v>1.0539925236796988</v>
      </c>
      <c r="K83" s="299" t="s">
        <v>741</v>
      </c>
      <c r="L83" s="144"/>
    </row>
    <row r="84" spans="1:12" ht="13.5" thickBot="1">
      <c r="A84" s="518"/>
      <c r="B84" s="516"/>
      <c r="C84" s="213"/>
      <c r="D84" s="213" t="s">
        <v>183</v>
      </c>
      <c r="E84" s="213" t="s">
        <v>334</v>
      </c>
      <c r="F84" s="124" t="s">
        <v>138</v>
      </c>
      <c r="G84" s="127">
        <v>100</v>
      </c>
      <c r="H84" s="127">
        <v>78.965000000000003</v>
      </c>
      <c r="I84" s="127">
        <v>100</v>
      </c>
      <c r="J84" s="291">
        <f t="shared" si="1"/>
        <v>1.2663838409421895</v>
      </c>
      <c r="K84" s="299" t="s">
        <v>740</v>
      </c>
      <c r="L84" s="144"/>
    </row>
    <row r="85" spans="1:12" ht="26.25" thickBot="1">
      <c r="A85" s="518"/>
      <c r="B85" s="516"/>
      <c r="C85" s="213"/>
      <c r="D85" s="213" t="s">
        <v>184</v>
      </c>
      <c r="E85" s="286" t="s">
        <v>335</v>
      </c>
      <c r="F85" s="124" t="s">
        <v>139</v>
      </c>
      <c r="G85" s="127">
        <v>0</v>
      </c>
      <c r="H85" s="127">
        <v>0</v>
      </c>
      <c r="I85" s="127">
        <v>0</v>
      </c>
      <c r="J85" s="291"/>
      <c r="K85" s="299"/>
      <c r="L85" s="144"/>
    </row>
    <row r="86" spans="1:12" ht="13.5" thickBot="1">
      <c r="A86" s="518"/>
      <c r="B86" s="516"/>
      <c r="C86" s="213"/>
      <c r="D86" s="213"/>
      <c r="E86" s="296" t="s">
        <v>58</v>
      </c>
      <c r="F86" s="124" t="s">
        <v>140</v>
      </c>
      <c r="G86" s="127">
        <v>0</v>
      </c>
      <c r="H86" s="127">
        <v>0</v>
      </c>
      <c r="I86" s="127">
        <v>0</v>
      </c>
      <c r="J86" s="291"/>
      <c r="K86" s="299"/>
      <c r="L86" s="144"/>
    </row>
    <row r="87" spans="1:12" ht="13.5" thickBot="1">
      <c r="A87" s="518"/>
      <c r="B87" s="516"/>
      <c r="C87" s="213"/>
      <c r="D87" s="213" t="s">
        <v>185</v>
      </c>
      <c r="E87" s="296" t="s">
        <v>336</v>
      </c>
      <c r="F87" s="124" t="s">
        <v>141</v>
      </c>
      <c r="G87" s="127">
        <v>0</v>
      </c>
      <c r="H87" s="127">
        <v>0</v>
      </c>
      <c r="I87" s="127">
        <v>0</v>
      </c>
      <c r="J87" s="291"/>
      <c r="K87" s="299"/>
      <c r="L87" s="144"/>
    </row>
    <row r="88" spans="1:12" ht="39" thickBot="1">
      <c r="A88" s="518"/>
      <c r="B88" s="516"/>
      <c r="C88" s="213"/>
      <c r="D88" s="213" t="s">
        <v>186</v>
      </c>
      <c r="E88" s="296" t="s">
        <v>433</v>
      </c>
      <c r="F88" s="124" t="s">
        <v>142</v>
      </c>
      <c r="G88" s="127">
        <v>0</v>
      </c>
      <c r="H88" s="127">
        <v>0</v>
      </c>
      <c r="I88" s="127">
        <v>0</v>
      </c>
      <c r="J88" s="291"/>
      <c r="K88" s="299"/>
      <c r="L88" s="144"/>
    </row>
    <row r="89" spans="1:12" ht="13.5" thickBot="1">
      <c r="A89" s="518"/>
      <c r="B89" s="516"/>
      <c r="C89" s="213"/>
      <c r="D89" s="213" t="s">
        <v>187</v>
      </c>
      <c r="E89" s="296" t="s">
        <v>338</v>
      </c>
      <c r="F89" s="124" t="s">
        <v>143</v>
      </c>
      <c r="G89" s="127">
        <v>0</v>
      </c>
      <c r="H89" s="127">
        <v>0</v>
      </c>
      <c r="I89" s="127">
        <v>10</v>
      </c>
      <c r="J89" s="291"/>
      <c r="K89" s="299"/>
      <c r="L89" s="144"/>
    </row>
    <row r="90" spans="1:12" ht="13.5" customHeight="1" thickBot="1">
      <c r="A90" s="518"/>
      <c r="B90" s="516"/>
      <c r="C90" s="213" t="s">
        <v>144</v>
      </c>
      <c r="D90" s="504" t="s">
        <v>296</v>
      </c>
      <c r="E90" s="505"/>
      <c r="F90" s="124" t="s">
        <v>145</v>
      </c>
      <c r="G90" s="127">
        <v>1504</v>
      </c>
      <c r="H90" s="127">
        <v>1424.0630000000001</v>
      </c>
      <c r="I90" s="127">
        <v>1345</v>
      </c>
      <c r="J90" s="291"/>
      <c r="K90" s="299"/>
      <c r="L90" s="144"/>
    </row>
    <row r="91" spans="1:12" ht="27" customHeight="1" thickBot="1">
      <c r="A91" s="518"/>
      <c r="B91" s="516"/>
      <c r="C91" s="492" t="s">
        <v>703</v>
      </c>
      <c r="D91" s="493"/>
      <c r="E91" s="494"/>
      <c r="F91" s="287" t="s">
        <v>146</v>
      </c>
      <c r="G91" s="159">
        <f>(638500+400000+182917)/1000</f>
        <v>1221.4169999999999</v>
      </c>
      <c r="H91" s="159">
        <f>H92+H93+H94+H95+H96+H97</f>
        <v>1683.4690000000001</v>
      </c>
      <c r="I91" s="159">
        <f>I92+I93+I94+I95+I96+I97</f>
        <v>1749.3120000000001</v>
      </c>
      <c r="J91" s="291">
        <f t="shared" si="1"/>
        <v>1.0391115013106864</v>
      </c>
      <c r="K91" s="299" t="s">
        <v>757</v>
      </c>
      <c r="L91" s="144"/>
    </row>
    <row r="92" spans="1:12" ht="13.5" customHeight="1" thickBot="1">
      <c r="A92" s="518"/>
      <c r="B92" s="516"/>
      <c r="C92" s="213" t="s">
        <v>93</v>
      </c>
      <c r="D92" s="479" t="s">
        <v>147</v>
      </c>
      <c r="E92" s="480"/>
      <c r="F92" s="124" t="s">
        <v>148</v>
      </c>
      <c r="G92" s="127">
        <v>0</v>
      </c>
      <c r="H92" s="127">
        <v>0</v>
      </c>
      <c r="I92" s="127">
        <v>0</v>
      </c>
      <c r="J92" s="291"/>
      <c r="K92" s="299"/>
      <c r="L92" s="144"/>
    </row>
    <row r="93" spans="1:12" ht="13.5" customHeight="1" thickBot="1">
      <c r="A93" s="518"/>
      <c r="B93" s="516"/>
      <c r="C93" s="213" t="s">
        <v>149</v>
      </c>
      <c r="D93" s="479" t="s">
        <v>150</v>
      </c>
      <c r="E93" s="480"/>
      <c r="F93" s="124" t="s">
        <v>151</v>
      </c>
      <c r="G93" s="127">
        <v>182.917</v>
      </c>
      <c r="H93" s="127">
        <v>176.35499999999999</v>
      </c>
      <c r="I93" s="127">
        <v>147.17500000000001</v>
      </c>
      <c r="J93" s="291">
        <f t="shared" si="1"/>
        <v>0.83453828924612294</v>
      </c>
      <c r="K93" s="299" t="s">
        <v>739</v>
      </c>
      <c r="L93" s="144"/>
    </row>
    <row r="94" spans="1:12" ht="13.5" thickBot="1">
      <c r="A94" s="518"/>
      <c r="B94" s="516"/>
      <c r="C94" s="213" t="s">
        <v>152</v>
      </c>
      <c r="D94" s="481" t="s">
        <v>153</v>
      </c>
      <c r="E94" s="482"/>
      <c r="F94" s="124" t="s">
        <v>154</v>
      </c>
      <c r="G94" s="127">
        <v>60</v>
      </c>
      <c r="H94" s="127">
        <v>62.578000000000003</v>
      </c>
      <c r="I94" s="127">
        <v>60</v>
      </c>
      <c r="J94" s="291">
        <f t="shared" si="1"/>
        <v>0.9588034133401514</v>
      </c>
      <c r="K94" s="299" t="s">
        <v>751</v>
      </c>
      <c r="L94" s="144"/>
    </row>
    <row r="95" spans="1:12" ht="13.5" thickBot="1">
      <c r="A95" s="518"/>
      <c r="B95" s="516"/>
      <c r="C95" s="213" t="s">
        <v>155</v>
      </c>
      <c r="D95" s="481" t="s">
        <v>156</v>
      </c>
      <c r="E95" s="482"/>
      <c r="F95" s="124" t="s">
        <v>157</v>
      </c>
      <c r="G95" s="127">
        <v>0.4</v>
      </c>
      <c r="H95" s="127">
        <v>0.4</v>
      </c>
      <c r="I95" s="127">
        <v>0.4</v>
      </c>
      <c r="J95" s="291">
        <f t="shared" si="1"/>
        <v>1</v>
      </c>
      <c r="K95" s="290" t="s">
        <v>743</v>
      </c>
      <c r="L95" s="144"/>
    </row>
    <row r="96" spans="1:12" ht="13.5" thickBot="1">
      <c r="A96" s="518"/>
      <c r="B96" s="516"/>
      <c r="C96" s="213" t="s">
        <v>94</v>
      </c>
      <c r="D96" s="481" t="s">
        <v>158</v>
      </c>
      <c r="E96" s="482"/>
      <c r="F96" s="124" t="s">
        <v>159</v>
      </c>
      <c r="G96" s="127">
        <v>130</v>
      </c>
      <c r="H96" s="127">
        <v>125.208</v>
      </c>
      <c r="I96" s="127">
        <v>138</v>
      </c>
      <c r="J96" s="291">
        <f t="shared" si="1"/>
        <v>1.102165995783017</v>
      </c>
      <c r="K96" s="299" t="s">
        <v>738</v>
      </c>
      <c r="L96" s="144"/>
    </row>
    <row r="97" spans="1:12" ht="13.5" customHeight="1" thickBot="1">
      <c r="A97" s="518"/>
      <c r="B97" s="516"/>
      <c r="C97" s="213" t="s">
        <v>105</v>
      </c>
      <c r="D97" s="481" t="s">
        <v>160</v>
      </c>
      <c r="E97" s="482"/>
      <c r="F97" s="124" t="s">
        <v>161</v>
      </c>
      <c r="G97" s="127">
        <f>(G91-G92-G93-G94-G95-G96)/1000</f>
        <v>0.84810000000000008</v>
      </c>
      <c r="H97" s="127">
        <v>1318.9280000000001</v>
      </c>
      <c r="I97" s="127">
        <v>1403.7370000000001</v>
      </c>
      <c r="J97" s="291">
        <f t="shared" si="1"/>
        <v>1.0643014630063203</v>
      </c>
      <c r="K97" s="290" t="s">
        <v>744</v>
      </c>
      <c r="L97" s="144"/>
    </row>
    <row r="98" spans="1:12" ht="13.5" customHeight="1" thickBot="1">
      <c r="A98" s="518"/>
      <c r="B98" s="516"/>
      <c r="C98" s="492" t="s">
        <v>436</v>
      </c>
      <c r="D98" s="493"/>
      <c r="E98" s="494"/>
      <c r="F98" s="287" t="s">
        <v>162</v>
      </c>
      <c r="G98" s="159">
        <f>G99+G103+G111+G115+G120</f>
        <v>54607.33</v>
      </c>
      <c r="H98" s="159">
        <f>H99+H103+H111+H115+H120</f>
        <v>54439.573999999993</v>
      </c>
      <c r="I98" s="159">
        <f>I99+I103+I111+I115+I120</f>
        <v>55280.888999999996</v>
      </c>
      <c r="J98" s="289">
        <f t="shared" si="1"/>
        <v>1.0154541069700509</v>
      </c>
      <c r="K98" s="299"/>
      <c r="L98" s="144"/>
    </row>
    <row r="99" spans="1:12" ht="13.5" customHeight="1" thickBot="1">
      <c r="A99" s="518"/>
      <c r="B99" s="516"/>
      <c r="C99" s="213" t="s">
        <v>163</v>
      </c>
      <c r="D99" s="479" t="s">
        <v>164</v>
      </c>
      <c r="E99" s="480"/>
      <c r="F99" s="124" t="s">
        <v>165</v>
      </c>
      <c r="G99" s="127">
        <f>(38506-G113-G115)</f>
        <v>35665.67</v>
      </c>
      <c r="H99" s="127">
        <f>(38503-H113-H115)</f>
        <v>35367.672999999995</v>
      </c>
      <c r="I99" s="127">
        <f>(36750000-1800000)/1000</f>
        <v>34950</v>
      </c>
      <c r="J99" s="291">
        <f t="shared" si="1"/>
        <v>0.98819054338123979</v>
      </c>
      <c r="K99" s="299"/>
      <c r="L99" s="144"/>
    </row>
    <row r="100" spans="1:12" ht="13.5" customHeight="1" thickBot="1">
      <c r="A100" s="518"/>
      <c r="B100" s="516"/>
      <c r="C100" s="295"/>
      <c r="D100" s="481" t="s">
        <v>166</v>
      </c>
      <c r="E100" s="482"/>
      <c r="F100" s="124" t="s">
        <v>167</v>
      </c>
      <c r="G100" s="127">
        <v>20049.900000000001</v>
      </c>
      <c r="H100" s="127">
        <v>19883.126</v>
      </c>
      <c r="I100" s="127">
        <f>(24860000)/1000</f>
        <v>24860</v>
      </c>
      <c r="J100" s="291">
        <f t="shared" si="1"/>
        <v>1.2503064156008468</v>
      </c>
      <c r="K100" s="299"/>
      <c r="L100" s="144"/>
    </row>
    <row r="101" spans="1:12" ht="13.5" customHeight="1" thickBot="1">
      <c r="A101" s="517"/>
      <c r="B101" s="515"/>
      <c r="C101" s="513"/>
      <c r="D101" s="509" t="s">
        <v>360</v>
      </c>
      <c r="E101" s="510"/>
      <c r="F101" s="124" t="s">
        <v>361</v>
      </c>
      <c r="G101" s="127">
        <v>7340.5</v>
      </c>
      <c r="H101" s="127">
        <v>7279.6310000000003</v>
      </c>
      <c r="I101" s="127">
        <f>(7900000+2190000-526000)/1000</f>
        <v>9564</v>
      </c>
      <c r="J101" s="291">
        <f t="shared" si="1"/>
        <v>1.313802856216201</v>
      </c>
      <c r="K101" s="299"/>
      <c r="L101" s="144"/>
    </row>
    <row r="102" spans="1:12" ht="13.5" customHeight="1" thickBot="1">
      <c r="A102" s="518"/>
      <c r="B102" s="516"/>
      <c r="C102" s="514"/>
      <c r="D102" s="504" t="s">
        <v>362</v>
      </c>
      <c r="E102" s="505"/>
      <c r="F102" s="124" t="s">
        <v>363</v>
      </c>
      <c r="G102" s="127">
        <f>(G99-G100-G101)</f>
        <v>8275.2699999999968</v>
      </c>
      <c r="H102" s="127">
        <v>8204.9</v>
      </c>
      <c r="I102" s="127">
        <f>(I99-I100-I101)</f>
        <v>526</v>
      </c>
      <c r="J102" s="291">
        <f t="shared" si="1"/>
        <v>6.4108033004667941E-2</v>
      </c>
      <c r="K102" s="299" t="s">
        <v>780</v>
      </c>
      <c r="L102" s="144"/>
    </row>
    <row r="103" spans="1:12" ht="13.5" customHeight="1" thickBot="1">
      <c r="A103" s="518"/>
      <c r="B103" s="516"/>
      <c r="C103" s="213" t="s">
        <v>197</v>
      </c>
      <c r="D103" s="479" t="s">
        <v>189</v>
      </c>
      <c r="E103" s="480"/>
      <c r="F103" s="124" t="s">
        <v>364</v>
      </c>
      <c r="G103" s="127">
        <f>(G104+G107+G108+G109+G110)</f>
        <v>2675</v>
      </c>
      <c r="H103" s="127">
        <f>(H104+H107+H108+H109+H110)</f>
        <v>2723.5</v>
      </c>
      <c r="I103" s="127">
        <f>(I104+I107+I108+I109+I110)</f>
        <v>2473.4139999999998</v>
      </c>
      <c r="J103" s="291">
        <f t="shared" si="1"/>
        <v>0.90817477510556266</v>
      </c>
      <c r="K103" s="290"/>
      <c r="L103" s="144"/>
    </row>
    <row r="104" spans="1:12" ht="29.25" customHeight="1" thickBot="1">
      <c r="A104" s="518"/>
      <c r="B104" s="516"/>
      <c r="C104" s="213"/>
      <c r="D104" s="509" t="s">
        <v>339</v>
      </c>
      <c r="E104" s="510"/>
      <c r="F104" s="124" t="s">
        <v>365</v>
      </c>
      <c r="G104" s="127">
        <v>700</v>
      </c>
      <c r="H104" s="127">
        <v>783.33399999999995</v>
      </c>
      <c r="I104" s="127">
        <v>700</v>
      </c>
      <c r="J104" s="291">
        <f t="shared" si="1"/>
        <v>0.89361626075211853</v>
      </c>
      <c r="K104" s="290" t="s">
        <v>758</v>
      </c>
      <c r="L104" s="144"/>
    </row>
    <row r="105" spans="1:12" ht="12.75" customHeight="1" thickBot="1">
      <c r="A105" s="518"/>
      <c r="B105" s="516"/>
      <c r="C105" s="213"/>
      <c r="D105" s="213"/>
      <c r="E105" s="296" t="s">
        <v>366</v>
      </c>
      <c r="F105" s="124" t="s">
        <v>367</v>
      </c>
      <c r="G105" s="127">
        <f>(SUM(H105:I105))/1000</f>
        <v>0</v>
      </c>
      <c r="H105" s="127">
        <v>0</v>
      </c>
      <c r="I105" s="127">
        <v>0</v>
      </c>
      <c r="J105" s="291"/>
      <c r="K105" s="299"/>
      <c r="L105" s="144"/>
    </row>
    <row r="106" spans="1:12" ht="26.25" thickBot="1">
      <c r="A106" s="518"/>
      <c r="B106" s="516"/>
      <c r="C106" s="213"/>
      <c r="D106" s="213"/>
      <c r="E106" s="296" t="s">
        <v>516</v>
      </c>
      <c r="F106" s="124" t="s">
        <v>369</v>
      </c>
      <c r="G106" s="127">
        <v>130</v>
      </c>
      <c r="H106" s="127">
        <v>127.4</v>
      </c>
      <c r="I106" s="127">
        <v>130</v>
      </c>
      <c r="J106" s="291">
        <f t="shared" si="1"/>
        <v>1.0204081632653061</v>
      </c>
      <c r="K106" s="299"/>
      <c r="L106" s="144"/>
    </row>
    <row r="107" spans="1:12" ht="13.5" thickBot="1">
      <c r="A107" s="518"/>
      <c r="B107" s="516"/>
      <c r="C107" s="213"/>
      <c r="D107" s="504" t="s">
        <v>213</v>
      </c>
      <c r="E107" s="505"/>
      <c r="F107" s="124" t="s">
        <v>370</v>
      </c>
      <c r="G107" s="127">
        <v>1975</v>
      </c>
      <c r="H107" s="127">
        <v>1940.1659999999999</v>
      </c>
      <c r="I107" s="127">
        <v>1773.414</v>
      </c>
      <c r="J107" s="291">
        <f t="shared" si="1"/>
        <v>0.9140527150769574</v>
      </c>
      <c r="K107" s="293">
        <v>642</v>
      </c>
      <c r="L107" s="144"/>
    </row>
    <row r="108" spans="1:12" ht="13.5" customHeight="1" thickBot="1">
      <c r="A108" s="518"/>
      <c r="B108" s="516"/>
      <c r="C108" s="213"/>
      <c r="D108" s="504" t="s">
        <v>517</v>
      </c>
      <c r="E108" s="505"/>
      <c r="F108" s="124" t="s">
        <v>372</v>
      </c>
      <c r="G108" s="127">
        <v>0</v>
      </c>
      <c r="H108" s="127">
        <v>0</v>
      </c>
      <c r="I108" s="127">
        <v>0</v>
      </c>
      <c r="J108" s="291"/>
      <c r="K108" s="299"/>
      <c r="L108" s="144"/>
    </row>
    <row r="109" spans="1:12" ht="13.5" customHeight="1" thickBot="1">
      <c r="A109" s="518"/>
      <c r="B109" s="516"/>
      <c r="C109" s="213"/>
      <c r="D109" s="509" t="s">
        <v>704</v>
      </c>
      <c r="E109" s="510"/>
      <c r="F109" s="124" t="s">
        <v>373</v>
      </c>
      <c r="G109" s="127">
        <v>0</v>
      </c>
      <c r="H109" s="127">
        <v>0</v>
      </c>
      <c r="I109" s="127">
        <v>0</v>
      </c>
      <c r="J109" s="291"/>
      <c r="K109" s="299"/>
      <c r="L109" s="144"/>
    </row>
    <row r="110" spans="1:12" ht="13.5" customHeight="1" thickBot="1">
      <c r="A110" s="518"/>
      <c r="B110" s="516"/>
      <c r="C110" s="213"/>
      <c r="D110" s="504" t="s">
        <v>374</v>
      </c>
      <c r="E110" s="505"/>
      <c r="F110" s="124" t="s">
        <v>375</v>
      </c>
      <c r="G110" s="127"/>
      <c r="H110" s="127"/>
      <c r="I110" s="127"/>
      <c r="J110" s="291"/>
      <c r="K110" s="299"/>
      <c r="L110" s="144"/>
    </row>
    <row r="111" spans="1:12" ht="13.5" customHeight="1" thickBot="1">
      <c r="A111" s="518"/>
      <c r="B111" s="516"/>
      <c r="C111" s="213" t="s">
        <v>267</v>
      </c>
      <c r="D111" s="479" t="s">
        <v>376</v>
      </c>
      <c r="E111" s="480"/>
      <c r="F111" s="124" t="s">
        <v>377</v>
      </c>
      <c r="G111" s="127">
        <f>G112+G113+G114</f>
        <v>4516.3999999999996</v>
      </c>
      <c r="H111" s="127">
        <f>H112+H113+H114</f>
        <v>4418.6959999999999</v>
      </c>
      <c r="I111" s="127">
        <f>I112+I113+I114</f>
        <v>5711.0120000000006</v>
      </c>
      <c r="J111" s="291">
        <f t="shared" si="1"/>
        <v>1.2924654694507161</v>
      </c>
      <c r="K111" s="299"/>
      <c r="L111" s="144"/>
    </row>
    <row r="112" spans="1:12" ht="13.5" customHeight="1" thickBot="1">
      <c r="A112" s="518"/>
      <c r="B112" s="516"/>
      <c r="C112" s="213"/>
      <c r="D112" s="509" t="s">
        <v>378</v>
      </c>
      <c r="E112" s="510"/>
      <c r="F112" s="124" t="s">
        <v>379</v>
      </c>
      <c r="G112" s="127">
        <v>1994.4</v>
      </c>
      <c r="H112" s="127">
        <v>1845.0250000000001</v>
      </c>
      <c r="I112" s="127">
        <f>(1845025+780000)/1000</f>
        <v>2625.0250000000001</v>
      </c>
      <c r="J112" s="291">
        <f t="shared" si="1"/>
        <v>1.4227584992073279</v>
      </c>
      <c r="K112" s="299"/>
      <c r="L112" s="144"/>
    </row>
    <row r="113" spans="1:12" ht="13.5" customHeight="1" thickBot="1">
      <c r="A113" s="518"/>
      <c r="B113" s="516"/>
      <c r="C113" s="213"/>
      <c r="D113" s="509" t="s">
        <v>380</v>
      </c>
      <c r="E113" s="510"/>
      <c r="F113" s="124" t="s">
        <v>381</v>
      </c>
      <c r="G113" s="127">
        <v>2522</v>
      </c>
      <c r="H113" s="127">
        <v>2573.6709999999998</v>
      </c>
      <c r="I113" s="127">
        <f>(2522000+563987)/1000</f>
        <v>3085.9870000000001</v>
      </c>
      <c r="J113" s="291">
        <f t="shared" si="1"/>
        <v>1.1990604082650813</v>
      </c>
      <c r="K113" s="299"/>
      <c r="L113" s="144"/>
    </row>
    <row r="114" spans="1:12" ht="13.5" customHeight="1" thickBot="1">
      <c r="A114" s="518"/>
      <c r="B114" s="516"/>
      <c r="C114" s="213"/>
      <c r="D114" s="509" t="s">
        <v>382</v>
      </c>
      <c r="E114" s="510"/>
      <c r="F114" s="124" t="s">
        <v>383</v>
      </c>
      <c r="G114" s="127">
        <v>0</v>
      </c>
      <c r="H114" s="127">
        <v>0</v>
      </c>
      <c r="I114" s="127"/>
      <c r="J114" s="291"/>
      <c r="K114" s="299"/>
      <c r="L114" s="144"/>
    </row>
    <row r="115" spans="1:12" ht="27" customHeight="1" thickBot="1">
      <c r="A115" s="518"/>
      <c r="B115" s="516"/>
      <c r="C115" s="213" t="s">
        <v>188</v>
      </c>
      <c r="D115" s="509" t="s">
        <v>518</v>
      </c>
      <c r="E115" s="510"/>
      <c r="F115" s="124" t="s">
        <v>384</v>
      </c>
      <c r="G115" s="127">
        <f>G116+G117+G118+G119</f>
        <v>318.33000000000004</v>
      </c>
      <c r="H115" s="127">
        <f>H116+H117+H118+H119</f>
        <v>561.65599999999995</v>
      </c>
      <c r="I115" s="127">
        <f>I116+I117+I118+I119</f>
        <v>690.6</v>
      </c>
      <c r="J115" s="291">
        <f t="shared" si="1"/>
        <v>1.2295782471833294</v>
      </c>
      <c r="K115" s="299"/>
      <c r="L115" s="144"/>
    </row>
    <row r="116" spans="1:12" ht="13.5" customHeight="1" thickBot="1">
      <c r="A116" s="518"/>
      <c r="B116" s="516"/>
      <c r="C116" s="515"/>
      <c r="D116" s="504" t="s">
        <v>519</v>
      </c>
      <c r="E116" s="505"/>
      <c r="F116" s="124" t="s">
        <v>385</v>
      </c>
      <c r="G116" s="127">
        <f>(120000)/1000</f>
        <v>120</v>
      </c>
      <c r="H116" s="127">
        <v>362.94099999999997</v>
      </c>
      <c r="I116" s="127">
        <f>(10000*12+9850*3*12)/1000</f>
        <v>474.6</v>
      </c>
      <c r="J116" s="291">
        <f t="shared" si="1"/>
        <v>1.3076505547733654</v>
      </c>
      <c r="K116" s="299"/>
      <c r="L116" s="144"/>
    </row>
    <row r="117" spans="1:12" ht="13.5" customHeight="1" thickBot="1">
      <c r="A117" s="518"/>
      <c r="B117" s="516"/>
      <c r="C117" s="516"/>
      <c r="D117" s="479" t="s">
        <v>705</v>
      </c>
      <c r="E117" s="480"/>
      <c r="F117" s="124" t="s">
        <v>387</v>
      </c>
      <c r="G117" s="127">
        <v>198.33</v>
      </c>
      <c r="H117" s="127">
        <v>198.715</v>
      </c>
      <c r="I117" s="127">
        <f>(2000*9*12)/1000</f>
        <v>216</v>
      </c>
      <c r="J117" s="291">
        <f t="shared" si="1"/>
        <v>1.0869838713735751</v>
      </c>
      <c r="K117" s="299"/>
      <c r="L117" s="144"/>
    </row>
    <row r="118" spans="1:12" ht="13.5" customHeight="1" thickBot="1">
      <c r="A118" s="518"/>
      <c r="B118" s="516"/>
      <c r="C118" s="516"/>
      <c r="D118" s="504" t="s">
        <v>388</v>
      </c>
      <c r="E118" s="505"/>
      <c r="F118" s="124" t="s">
        <v>389</v>
      </c>
      <c r="G118" s="127">
        <v>0</v>
      </c>
      <c r="H118" s="127">
        <v>0</v>
      </c>
      <c r="I118" s="127">
        <v>0</v>
      </c>
      <c r="J118" s="291"/>
      <c r="K118" s="302"/>
      <c r="L118" s="144"/>
    </row>
    <row r="119" spans="1:12" ht="13.5" customHeight="1" thickBot="1">
      <c r="A119" s="518"/>
      <c r="B119" s="516"/>
      <c r="C119" s="519"/>
      <c r="D119" s="479" t="s">
        <v>390</v>
      </c>
      <c r="E119" s="480"/>
      <c r="F119" s="124" t="s">
        <v>391</v>
      </c>
      <c r="G119" s="127">
        <v>0</v>
      </c>
      <c r="H119" s="127">
        <v>0</v>
      </c>
      <c r="I119" s="127">
        <v>0</v>
      </c>
      <c r="J119" s="291"/>
      <c r="K119" s="302"/>
      <c r="L119" s="144"/>
    </row>
    <row r="120" spans="1:12" ht="48.75" customHeight="1" thickBot="1">
      <c r="A120" s="518"/>
      <c r="B120" s="516"/>
      <c r="C120" s="213" t="s">
        <v>198</v>
      </c>
      <c r="D120" s="479" t="s">
        <v>520</v>
      </c>
      <c r="E120" s="480"/>
      <c r="F120" s="124" t="s">
        <v>393</v>
      </c>
      <c r="G120" s="127">
        <f>G121+G122+G123+G124+G125+G126</f>
        <v>11431.93</v>
      </c>
      <c r="H120" s="127">
        <f>H121+H122+H123+H124+H125+H126</f>
        <v>11368.048999999999</v>
      </c>
      <c r="I120" s="127">
        <f>I121+I122+I123+I124+I125+I126</f>
        <v>11455.863000000001</v>
      </c>
      <c r="J120" s="291">
        <f t="shared" si="1"/>
        <v>1.0077246324325311</v>
      </c>
      <c r="K120" s="302"/>
      <c r="L120" s="144"/>
    </row>
    <row r="121" spans="1:12" ht="13.5" thickBot="1">
      <c r="A121" s="518"/>
      <c r="B121" s="516"/>
      <c r="C121" s="513"/>
      <c r="D121" s="479" t="s">
        <v>394</v>
      </c>
      <c r="E121" s="480"/>
      <c r="F121" s="124" t="s">
        <v>395</v>
      </c>
      <c r="G121" s="127">
        <v>8768.25</v>
      </c>
      <c r="H121" s="127">
        <v>8738.5879999999997</v>
      </c>
      <c r="I121" s="127">
        <v>8803.1090000000004</v>
      </c>
      <c r="J121" s="291">
        <f t="shared" si="1"/>
        <v>1.0073834582886847</v>
      </c>
      <c r="K121" s="293" t="s">
        <v>752</v>
      </c>
      <c r="L121" s="144"/>
    </row>
    <row r="122" spans="1:12" ht="13.5" thickBot="1">
      <c r="A122" s="518"/>
      <c r="B122" s="516"/>
      <c r="C122" s="527"/>
      <c r="D122" s="479" t="s">
        <v>521</v>
      </c>
      <c r="E122" s="480"/>
      <c r="F122" s="124" t="s">
        <v>397</v>
      </c>
      <c r="G122" s="127">
        <v>303.75</v>
      </c>
      <c r="H122" s="127">
        <v>298.678</v>
      </c>
      <c r="I122" s="127">
        <v>304.95800000000003</v>
      </c>
      <c r="J122" s="291">
        <f t="shared" si="1"/>
        <v>1.0210259878531396</v>
      </c>
      <c r="K122" s="293">
        <v>6452</v>
      </c>
      <c r="L122" s="144"/>
    </row>
    <row r="123" spans="1:12" ht="13.5" customHeight="1" thickBot="1">
      <c r="A123" s="518"/>
      <c r="B123" s="516"/>
      <c r="C123" s="527"/>
      <c r="D123" s="479" t="s">
        <v>398</v>
      </c>
      <c r="E123" s="480"/>
      <c r="F123" s="124">
        <v>112</v>
      </c>
      <c r="G123" s="127">
        <v>2106</v>
      </c>
      <c r="H123" s="127">
        <v>2098.0949999999998</v>
      </c>
      <c r="I123" s="127">
        <v>2114.373</v>
      </c>
      <c r="J123" s="291">
        <f t="shared" si="1"/>
        <v>1.0077584666089954</v>
      </c>
      <c r="K123" s="293">
        <v>6453</v>
      </c>
      <c r="L123" s="144"/>
    </row>
    <row r="124" spans="1:12" ht="13.5" customHeight="1" thickBot="1">
      <c r="A124" s="518"/>
      <c r="B124" s="516"/>
      <c r="C124" s="527"/>
      <c r="D124" s="509" t="s">
        <v>400</v>
      </c>
      <c r="E124" s="510"/>
      <c r="F124" s="124" t="s">
        <v>401</v>
      </c>
      <c r="G124" s="127">
        <v>253.93</v>
      </c>
      <c r="H124" s="127">
        <v>232.68799999999999</v>
      </c>
      <c r="I124" s="127">
        <v>233.423</v>
      </c>
      <c r="J124" s="291">
        <f t="shared" si="1"/>
        <v>1.0031587361617273</v>
      </c>
      <c r="K124" s="293" t="s">
        <v>753</v>
      </c>
      <c r="L124" s="144"/>
    </row>
    <row r="125" spans="1:12" ht="15.75" customHeight="1" thickBot="1">
      <c r="A125" s="517"/>
      <c r="B125" s="515"/>
      <c r="C125" s="513"/>
      <c r="D125" s="479" t="s">
        <v>706</v>
      </c>
      <c r="E125" s="480"/>
      <c r="F125" s="124" t="s">
        <v>403</v>
      </c>
      <c r="G125" s="127">
        <v>0</v>
      </c>
      <c r="H125" s="127">
        <v>0</v>
      </c>
      <c r="I125" s="127">
        <v>0</v>
      </c>
      <c r="J125" s="291"/>
      <c r="K125" s="293"/>
      <c r="L125" s="144"/>
    </row>
    <row r="126" spans="1:12" ht="13.5" thickBot="1">
      <c r="A126" s="518"/>
      <c r="B126" s="516"/>
      <c r="C126" s="514"/>
      <c r="D126" s="479" t="s">
        <v>522</v>
      </c>
      <c r="E126" s="480"/>
      <c r="F126" s="124" t="s">
        <v>405</v>
      </c>
      <c r="G126" s="127">
        <v>0</v>
      </c>
      <c r="H126" s="127">
        <v>0</v>
      </c>
      <c r="I126" s="127">
        <v>0</v>
      </c>
      <c r="J126" s="291"/>
      <c r="K126" s="293"/>
      <c r="L126" s="144"/>
    </row>
    <row r="127" spans="1:12" ht="42" customHeight="1" thickBot="1">
      <c r="A127" s="518"/>
      <c r="B127" s="516"/>
      <c r="C127" s="492" t="s">
        <v>523</v>
      </c>
      <c r="D127" s="493"/>
      <c r="E127" s="494"/>
      <c r="F127" s="287" t="s">
        <v>407</v>
      </c>
      <c r="G127" s="159">
        <f>G128+G131+G132+G133+G134+G135</f>
        <v>11143.047999999999</v>
      </c>
      <c r="H127" s="159">
        <f>H128+H131+H132+H133+H134+H135</f>
        <v>16159.744999999999</v>
      </c>
      <c r="I127" s="159">
        <f>I128+I131+I132+I133+I134+I135</f>
        <v>17926.756000000001</v>
      </c>
      <c r="J127" s="289">
        <f t="shared" si="1"/>
        <v>1.1093464655537573</v>
      </c>
      <c r="K127" s="293"/>
      <c r="L127" s="144"/>
    </row>
    <row r="128" spans="1:12" ht="15.75" customHeight="1" thickBot="1">
      <c r="A128" s="518"/>
      <c r="B128" s="516"/>
      <c r="C128" s="213" t="s">
        <v>93</v>
      </c>
      <c r="D128" s="479" t="s">
        <v>524</v>
      </c>
      <c r="E128" s="480"/>
      <c r="F128" s="124" t="s">
        <v>409</v>
      </c>
      <c r="G128" s="127">
        <f>SUM(G129:G130)</f>
        <v>0</v>
      </c>
      <c r="H128" s="127">
        <f>SUM(H129:H130)</f>
        <v>10354.177</v>
      </c>
      <c r="I128" s="127"/>
      <c r="J128" s="291">
        <f t="shared" si="1"/>
        <v>0</v>
      </c>
      <c r="K128" s="293" t="s">
        <v>754</v>
      </c>
      <c r="L128" s="144"/>
    </row>
    <row r="129" spans="1:15" ht="15.75" customHeight="1" thickBot="1">
      <c r="A129" s="518"/>
      <c r="B129" s="516"/>
      <c r="C129" s="213"/>
      <c r="D129" s="481" t="s">
        <v>525</v>
      </c>
      <c r="E129" s="482"/>
      <c r="F129" s="124" t="s">
        <v>411</v>
      </c>
      <c r="G129" s="127">
        <v>0</v>
      </c>
      <c r="H129" s="127">
        <v>7012.2449999999999</v>
      </c>
      <c r="I129" s="127"/>
      <c r="J129" s="291">
        <f t="shared" si="1"/>
        <v>0</v>
      </c>
      <c r="K129" s="293" t="s">
        <v>755</v>
      </c>
      <c r="L129" s="144"/>
    </row>
    <row r="130" spans="1:15" ht="13.5" thickBot="1">
      <c r="A130" s="518"/>
      <c r="B130" s="516"/>
      <c r="C130" s="213"/>
      <c r="D130" s="521" t="s">
        <v>526</v>
      </c>
      <c r="E130" s="522"/>
      <c r="F130" s="124" t="s">
        <v>413</v>
      </c>
      <c r="G130" s="127">
        <v>0</v>
      </c>
      <c r="H130" s="127">
        <v>3341.9319999999998</v>
      </c>
      <c r="I130" s="127"/>
      <c r="J130" s="291">
        <f t="shared" si="1"/>
        <v>0</v>
      </c>
      <c r="K130" s="293" t="s">
        <v>756</v>
      </c>
      <c r="L130" s="144"/>
    </row>
    <row r="131" spans="1:15" ht="13.5" thickBot="1">
      <c r="A131" s="518"/>
      <c r="B131" s="516"/>
      <c r="C131" s="213" t="s">
        <v>149</v>
      </c>
      <c r="D131" s="481" t="s">
        <v>414</v>
      </c>
      <c r="E131" s="482"/>
      <c r="F131" s="124" t="s">
        <v>415</v>
      </c>
      <c r="G131" s="127">
        <v>0</v>
      </c>
      <c r="H131" s="127">
        <v>0</v>
      </c>
      <c r="I131" s="127"/>
      <c r="J131" s="291"/>
      <c r="K131" s="293"/>
      <c r="L131" s="144"/>
    </row>
    <row r="132" spans="1:15" ht="15.75" customHeight="1" thickBot="1">
      <c r="A132" s="518"/>
      <c r="B132" s="516"/>
      <c r="C132" s="213" t="s">
        <v>152</v>
      </c>
      <c r="D132" s="479" t="s">
        <v>527</v>
      </c>
      <c r="E132" s="480"/>
      <c r="F132" s="124" t="s">
        <v>528</v>
      </c>
      <c r="G132" s="127">
        <v>0</v>
      </c>
      <c r="H132" s="127">
        <v>0</v>
      </c>
      <c r="I132" s="127">
        <v>0</v>
      </c>
      <c r="J132" s="291"/>
      <c r="K132" s="293"/>
      <c r="L132" s="144"/>
    </row>
    <row r="133" spans="1:15" ht="15.75" customHeight="1" thickBot="1">
      <c r="A133" s="518"/>
      <c r="B133" s="516"/>
      <c r="C133" s="213" t="s">
        <v>155</v>
      </c>
      <c r="D133" s="481" t="s">
        <v>781</v>
      </c>
      <c r="E133" s="482"/>
      <c r="F133" s="124" t="s">
        <v>529</v>
      </c>
      <c r="G133" s="127">
        <f>(367034-93000)/1000</f>
        <v>274.03399999999999</v>
      </c>
      <c r="H133" s="127">
        <v>363.30399999999997</v>
      </c>
      <c r="I133" s="127">
        <f>(350000+5913600)/1000</f>
        <v>6263.6</v>
      </c>
      <c r="J133" s="291">
        <f t="shared" si="1"/>
        <v>17.240657961376701</v>
      </c>
      <c r="K133" s="293" t="s">
        <v>779</v>
      </c>
      <c r="L133" s="144"/>
      <c r="O133" s="1" t="s">
        <v>764</v>
      </c>
    </row>
    <row r="134" spans="1:15" ht="15.75" customHeight="1" thickBot="1">
      <c r="A134" s="518"/>
      <c r="B134" s="516"/>
      <c r="C134" s="213" t="s">
        <v>94</v>
      </c>
      <c r="D134" s="479" t="s">
        <v>530</v>
      </c>
      <c r="E134" s="480"/>
      <c r="F134" s="124" t="s">
        <v>531</v>
      </c>
      <c r="G134" s="127">
        <v>10869.013999999999</v>
      </c>
      <c r="H134" s="127">
        <v>11801.602000000001</v>
      </c>
      <c r="I134" s="127">
        <v>11663.156000000001</v>
      </c>
      <c r="J134" s="291">
        <f t="shared" si="1"/>
        <v>0.9882688807841512</v>
      </c>
      <c r="K134" s="293"/>
      <c r="L134" s="144"/>
    </row>
    <row r="135" spans="1:15" ht="33.75" customHeight="1" thickBot="1">
      <c r="A135" s="518"/>
      <c r="B135" s="519"/>
      <c r="C135" s="213" t="s">
        <v>105</v>
      </c>
      <c r="D135" s="479" t="s">
        <v>532</v>
      </c>
      <c r="E135" s="480"/>
      <c r="F135" s="124" t="s">
        <v>533</v>
      </c>
      <c r="G135" s="127">
        <f>G136-G137</f>
        <v>0</v>
      </c>
      <c r="H135" s="127">
        <f>H136-H137</f>
        <v>-6359.3380000000006</v>
      </c>
      <c r="I135" s="127">
        <v>0</v>
      </c>
      <c r="J135" s="291">
        <f t="shared" si="1"/>
        <v>0</v>
      </c>
      <c r="K135" s="293"/>
      <c r="L135" s="144"/>
    </row>
    <row r="136" spans="1:15" ht="15.75" customHeight="1" thickBot="1">
      <c r="A136" s="518"/>
      <c r="B136" s="283"/>
      <c r="C136" s="213"/>
      <c r="D136" s="213" t="s">
        <v>174</v>
      </c>
      <c r="E136" s="296" t="s">
        <v>534</v>
      </c>
      <c r="F136" s="124" t="s">
        <v>535</v>
      </c>
      <c r="G136" s="127">
        <v>0</v>
      </c>
      <c r="H136" s="127">
        <v>5.5919999999999996</v>
      </c>
      <c r="I136" s="127">
        <v>0</v>
      </c>
      <c r="J136" s="291">
        <f t="shared" si="1"/>
        <v>0</v>
      </c>
      <c r="K136" s="293"/>
      <c r="L136" s="144"/>
    </row>
    <row r="137" spans="1:15" ht="26.25" thickBot="1">
      <c r="A137" s="518"/>
      <c r="B137" s="283"/>
      <c r="C137" s="213"/>
      <c r="D137" s="300" t="s">
        <v>175</v>
      </c>
      <c r="E137" s="286" t="s">
        <v>536</v>
      </c>
      <c r="F137" s="124" t="s">
        <v>537</v>
      </c>
      <c r="G137" s="127">
        <f>G138</f>
        <v>0</v>
      </c>
      <c r="H137" s="127">
        <f>((6348149+16781))/1000</f>
        <v>6364.93</v>
      </c>
      <c r="I137" s="127">
        <v>0</v>
      </c>
      <c r="J137" s="291">
        <f t="shared" si="1"/>
        <v>0</v>
      </c>
      <c r="K137" s="293"/>
      <c r="L137" s="144"/>
    </row>
    <row r="138" spans="1:15" ht="26.25" thickBot="1">
      <c r="A138" s="518"/>
      <c r="B138" s="283"/>
      <c r="C138" s="213"/>
      <c r="D138" s="213" t="s">
        <v>190</v>
      </c>
      <c r="E138" s="296" t="s">
        <v>538</v>
      </c>
      <c r="F138" s="124" t="s">
        <v>539</v>
      </c>
      <c r="G138" s="127">
        <f>SUM(G139:G140)</f>
        <v>0</v>
      </c>
      <c r="H138" s="127">
        <v>6364.93</v>
      </c>
      <c r="I138" s="127">
        <v>0</v>
      </c>
      <c r="J138" s="291">
        <f t="shared" si="1"/>
        <v>0</v>
      </c>
      <c r="K138" s="293"/>
      <c r="L138" s="144"/>
    </row>
    <row r="139" spans="1:15" ht="13.5" thickBot="1">
      <c r="A139" s="518"/>
      <c r="B139" s="283"/>
      <c r="C139" s="213"/>
      <c r="D139" s="213"/>
      <c r="E139" s="296" t="s">
        <v>540</v>
      </c>
      <c r="F139" s="124" t="s">
        <v>541</v>
      </c>
      <c r="G139" s="127">
        <v>0</v>
      </c>
      <c r="H139" s="127">
        <v>0</v>
      </c>
      <c r="I139" s="127">
        <v>0</v>
      </c>
      <c r="J139" s="291"/>
      <c r="K139" s="293"/>
      <c r="L139" s="144"/>
    </row>
    <row r="140" spans="1:15" ht="26.25" thickBot="1">
      <c r="A140" s="518"/>
      <c r="B140" s="283"/>
      <c r="C140" s="213"/>
      <c r="D140" s="213"/>
      <c r="E140" s="296" t="s">
        <v>542</v>
      </c>
      <c r="F140" s="124" t="s">
        <v>543</v>
      </c>
      <c r="G140" s="127">
        <v>0</v>
      </c>
      <c r="H140" s="127">
        <v>0</v>
      </c>
      <c r="I140" s="127">
        <v>0</v>
      </c>
      <c r="J140" s="291"/>
      <c r="K140" s="293"/>
      <c r="L140" s="144"/>
    </row>
    <row r="141" spans="1:15" ht="13.5" thickBot="1">
      <c r="A141" s="518"/>
      <c r="B141" s="283"/>
      <c r="C141" s="213"/>
      <c r="D141" s="213"/>
      <c r="E141" s="294" t="s">
        <v>544</v>
      </c>
      <c r="F141" s="124" t="s">
        <v>545</v>
      </c>
      <c r="G141" s="127">
        <v>0</v>
      </c>
      <c r="H141" s="127">
        <v>0</v>
      </c>
      <c r="I141" s="127">
        <v>0</v>
      </c>
      <c r="J141" s="291"/>
      <c r="K141" s="293"/>
      <c r="L141" s="144"/>
    </row>
    <row r="142" spans="1:15" ht="15.75" customHeight="1" thickBot="1">
      <c r="A142" s="518"/>
      <c r="B142" s="197" t="s">
        <v>71</v>
      </c>
      <c r="C142" s="288"/>
      <c r="D142" s="492" t="s">
        <v>546</v>
      </c>
      <c r="E142" s="494"/>
      <c r="F142" s="287" t="s">
        <v>547</v>
      </c>
      <c r="G142" s="159">
        <f>G143+G146+G149</f>
        <v>9000</v>
      </c>
      <c r="H142" s="159">
        <f>H143+H146+H149</f>
        <v>6919.0330000000004</v>
      </c>
      <c r="I142" s="159">
        <f>I143+I146+I149</f>
        <v>5890.8850000000002</v>
      </c>
      <c r="J142" s="289">
        <f t="shared" ref="J142:J163" si="2">I142/H142</f>
        <v>0.8514029344852091</v>
      </c>
      <c r="K142" s="293"/>
      <c r="L142" s="144"/>
    </row>
    <row r="143" spans="1:15" ht="15.75" customHeight="1" thickBot="1">
      <c r="A143" s="518"/>
      <c r="B143" s="515"/>
      <c r="C143" s="213" t="s">
        <v>93</v>
      </c>
      <c r="D143" s="479" t="s">
        <v>548</v>
      </c>
      <c r="E143" s="480"/>
      <c r="F143" s="124" t="s">
        <v>549</v>
      </c>
      <c r="G143" s="127">
        <f>G144+G145</f>
        <v>9000</v>
      </c>
      <c r="H143" s="127">
        <v>6869</v>
      </c>
      <c r="I143" s="127">
        <f>I144+I145</f>
        <v>5890.8850000000002</v>
      </c>
      <c r="J143" s="291">
        <f t="shared" si="2"/>
        <v>0.85760445479691372</v>
      </c>
      <c r="K143" s="293">
        <v>666</v>
      </c>
      <c r="L143" s="144"/>
    </row>
    <row r="144" spans="1:15" ht="13.5" thickBot="1">
      <c r="A144" s="518"/>
      <c r="B144" s="516"/>
      <c r="C144" s="213"/>
      <c r="D144" s="213" t="s">
        <v>454</v>
      </c>
      <c r="E144" s="294" t="s">
        <v>550</v>
      </c>
      <c r="F144" s="124" t="s">
        <v>551</v>
      </c>
      <c r="G144" s="127">
        <v>0</v>
      </c>
      <c r="H144" s="127">
        <v>56.444000000000003</v>
      </c>
      <c r="I144" s="127">
        <v>2589</v>
      </c>
      <c r="J144" s="291">
        <f t="shared" si="2"/>
        <v>45.868471405286655</v>
      </c>
      <c r="K144" s="293"/>
      <c r="L144" s="144"/>
    </row>
    <row r="145" spans="1:12" ht="13.5" thickBot="1">
      <c r="A145" s="518"/>
      <c r="B145" s="516"/>
      <c r="C145" s="213"/>
      <c r="D145" s="300" t="s">
        <v>191</v>
      </c>
      <c r="E145" s="296" t="s">
        <v>552</v>
      </c>
      <c r="F145" s="124" t="s">
        <v>553</v>
      </c>
      <c r="G145" s="127">
        <v>9000</v>
      </c>
      <c r="H145" s="127">
        <v>6812.5410000000002</v>
      </c>
      <c r="I145" s="127">
        <v>3301.8850000000002</v>
      </c>
      <c r="J145" s="291">
        <f t="shared" si="2"/>
        <v>0.48467745001461277</v>
      </c>
      <c r="K145" s="293"/>
      <c r="L145" s="144"/>
    </row>
    <row r="146" spans="1:12" ht="31.5" customHeight="1" thickBot="1">
      <c r="A146" s="518"/>
      <c r="B146" s="516"/>
      <c r="C146" s="213" t="s">
        <v>149</v>
      </c>
      <c r="D146" s="479" t="s">
        <v>554</v>
      </c>
      <c r="E146" s="480"/>
      <c r="F146" s="124" t="s">
        <v>555</v>
      </c>
      <c r="G146" s="127">
        <f>G147+G148</f>
        <v>0</v>
      </c>
      <c r="H146" s="127">
        <v>50.033000000000001</v>
      </c>
      <c r="I146" s="127">
        <v>0</v>
      </c>
      <c r="J146" s="291">
        <f t="shared" si="2"/>
        <v>0</v>
      </c>
      <c r="K146" s="293">
        <v>665</v>
      </c>
      <c r="L146" s="144"/>
    </row>
    <row r="147" spans="1:12" ht="15.75" customHeight="1" thickBot="1">
      <c r="A147" s="518"/>
      <c r="B147" s="516"/>
      <c r="C147" s="213"/>
      <c r="D147" s="213" t="s">
        <v>215</v>
      </c>
      <c r="E147" s="294" t="s">
        <v>550</v>
      </c>
      <c r="F147" s="124" t="s">
        <v>556</v>
      </c>
      <c r="G147" s="127">
        <v>0</v>
      </c>
      <c r="H147" s="127">
        <v>0</v>
      </c>
      <c r="I147" s="127">
        <v>0</v>
      </c>
      <c r="J147" s="291"/>
      <c r="K147" s="293"/>
      <c r="L147" s="144"/>
    </row>
    <row r="148" spans="1:12" ht="13.5" thickBot="1">
      <c r="A148" s="518"/>
      <c r="B148" s="516"/>
      <c r="C148" s="213"/>
      <c r="D148" s="213" t="s">
        <v>239</v>
      </c>
      <c r="E148" s="296" t="s">
        <v>552</v>
      </c>
      <c r="F148" s="124" t="s">
        <v>557</v>
      </c>
      <c r="G148" s="127">
        <v>0</v>
      </c>
      <c r="H148" s="127">
        <v>50.033000000000001</v>
      </c>
      <c r="I148" s="127">
        <v>0</v>
      </c>
      <c r="J148" s="291">
        <f t="shared" si="2"/>
        <v>0</v>
      </c>
      <c r="K148" s="293"/>
      <c r="L148" s="144"/>
    </row>
    <row r="149" spans="1:12" ht="13.5" thickBot="1">
      <c r="A149" s="518"/>
      <c r="B149" s="519"/>
      <c r="C149" s="213" t="s">
        <v>152</v>
      </c>
      <c r="D149" s="481" t="s">
        <v>558</v>
      </c>
      <c r="E149" s="482"/>
      <c r="F149" s="124" t="s">
        <v>559</v>
      </c>
      <c r="G149" s="127">
        <v>0</v>
      </c>
      <c r="H149" s="127">
        <v>0</v>
      </c>
      <c r="I149" s="127">
        <v>0</v>
      </c>
      <c r="J149" s="291"/>
      <c r="K149" s="293"/>
      <c r="L149" s="144"/>
    </row>
    <row r="150" spans="1:12" ht="13.5" thickBot="1">
      <c r="A150" s="520"/>
      <c r="B150" s="197" t="s">
        <v>65</v>
      </c>
      <c r="C150" s="288"/>
      <c r="D150" s="495" t="s">
        <v>273</v>
      </c>
      <c r="E150" s="497"/>
      <c r="F150" s="287" t="s">
        <v>560</v>
      </c>
      <c r="G150" s="159">
        <v>0</v>
      </c>
      <c r="H150" s="159"/>
      <c r="I150" s="159"/>
      <c r="J150" s="289"/>
      <c r="K150" s="301"/>
      <c r="L150" s="144"/>
    </row>
    <row r="151" spans="1:12" ht="13.5" thickBot="1">
      <c r="A151" s="124" t="s">
        <v>274</v>
      </c>
      <c r="B151" s="283"/>
      <c r="C151" s="213"/>
      <c r="D151" s="492" t="s">
        <v>561</v>
      </c>
      <c r="E151" s="494"/>
      <c r="F151" s="287" t="s">
        <v>562</v>
      </c>
      <c r="G151" s="159">
        <f>G12-G41</f>
        <v>35.63000000003376</v>
      </c>
      <c r="H151" s="159">
        <f>H12-H41</f>
        <v>-31809.777999999991</v>
      </c>
      <c r="I151" s="159">
        <f>I12-I41</f>
        <v>49.067000000010012</v>
      </c>
      <c r="J151" s="289">
        <f t="shared" si="2"/>
        <v>-1.5425131228520371E-3</v>
      </c>
      <c r="K151" s="301"/>
      <c r="L151" s="144"/>
    </row>
    <row r="152" spans="1:12" ht="18.75" customHeight="1" thickBot="1">
      <c r="A152" s="124"/>
      <c r="B152" s="283"/>
      <c r="C152" s="213"/>
      <c r="D152" s="213"/>
      <c r="E152" s="294" t="s">
        <v>563</v>
      </c>
      <c r="F152" s="124" t="s">
        <v>564</v>
      </c>
      <c r="G152" s="127"/>
      <c r="H152" s="127">
        <v>7487.2709999999997</v>
      </c>
      <c r="I152" s="127"/>
      <c r="J152" s="291">
        <f t="shared" si="2"/>
        <v>0</v>
      </c>
      <c r="K152" s="293"/>
      <c r="L152" s="144"/>
    </row>
    <row r="153" spans="1:12" ht="18.75" customHeight="1" thickBot="1">
      <c r="A153" s="124" t="s">
        <v>276</v>
      </c>
      <c r="B153" s="283"/>
      <c r="C153" s="213"/>
      <c r="D153" s="481" t="s">
        <v>277</v>
      </c>
      <c r="E153" s="482"/>
      <c r="F153" s="124" t="s">
        <v>565</v>
      </c>
      <c r="G153" s="127"/>
      <c r="H153" s="127"/>
      <c r="I153" s="127"/>
      <c r="J153" s="291"/>
      <c r="K153" s="293"/>
      <c r="L153" s="144"/>
    </row>
    <row r="154" spans="1:12" ht="17.25" customHeight="1" thickBot="1">
      <c r="A154" s="124" t="s">
        <v>278</v>
      </c>
      <c r="B154" s="283"/>
      <c r="C154" s="213"/>
      <c r="D154" s="481" t="s">
        <v>302</v>
      </c>
      <c r="E154" s="482"/>
      <c r="F154" s="124" t="s">
        <v>566</v>
      </c>
      <c r="G154" s="127"/>
      <c r="H154" s="127"/>
      <c r="I154" s="127"/>
      <c r="J154" s="291"/>
      <c r="K154" s="293"/>
      <c r="L154" s="144"/>
    </row>
    <row r="155" spans="1:12" ht="17.25" customHeight="1" thickBot="1">
      <c r="A155" s="517"/>
      <c r="B155" s="283" t="s">
        <v>3</v>
      </c>
      <c r="C155" s="213"/>
      <c r="D155" s="481" t="s">
        <v>567</v>
      </c>
      <c r="E155" s="482"/>
      <c r="F155" s="124" t="s">
        <v>568</v>
      </c>
      <c r="G155" s="127">
        <v>935</v>
      </c>
      <c r="H155" s="127">
        <v>924</v>
      </c>
      <c r="I155" s="127">
        <v>878</v>
      </c>
      <c r="J155" s="291">
        <f t="shared" si="2"/>
        <v>0.95021645021645018</v>
      </c>
      <c r="K155" s="293"/>
      <c r="L155" s="144"/>
    </row>
    <row r="156" spans="1:12" ht="16.5" customHeight="1" thickBot="1">
      <c r="A156" s="518"/>
      <c r="B156" s="283" t="s">
        <v>71</v>
      </c>
      <c r="C156" s="213"/>
      <c r="D156" s="481" t="s">
        <v>569</v>
      </c>
      <c r="E156" s="482"/>
      <c r="F156" s="124" t="s">
        <v>570</v>
      </c>
      <c r="G156" s="127">
        <v>931</v>
      </c>
      <c r="H156" s="127">
        <v>974</v>
      </c>
      <c r="I156" s="127">
        <v>909</v>
      </c>
      <c r="J156" s="291">
        <f t="shared" si="2"/>
        <v>0.93326488706365507</v>
      </c>
      <c r="K156" s="293"/>
      <c r="L156" s="144"/>
    </row>
    <row r="157" spans="1:12" s="28" customFormat="1" ht="33.75" customHeight="1" thickBot="1">
      <c r="A157" s="304"/>
      <c r="B157" s="73" t="s">
        <v>65</v>
      </c>
      <c r="C157" s="305" t="s">
        <v>93</v>
      </c>
      <c r="D157" s="523" t="s">
        <v>820</v>
      </c>
      <c r="E157" s="524"/>
      <c r="F157" s="73" t="s">
        <v>571</v>
      </c>
      <c r="G157" s="127">
        <f>((G100/G156)/12)*1000</f>
        <v>1794.6562835660582</v>
      </c>
      <c r="H157" s="127">
        <f>((H100/H156)/12)*1000</f>
        <v>1701.157255304586</v>
      </c>
      <c r="I157" s="127">
        <f>((I100/I156)/12)*1000</f>
        <v>2279.061239457279</v>
      </c>
      <c r="J157" s="291">
        <f t="shared" si="2"/>
        <v>1.3397122649012372</v>
      </c>
      <c r="K157" s="306"/>
      <c r="L157" s="307"/>
    </row>
    <row r="158" spans="1:12" s="28" customFormat="1" ht="45" customHeight="1" thickBot="1">
      <c r="A158" s="308"/>
      <c r="B158" s="73"/>
      <c r="C158" s="305" t="s">
        <v>149</v>
      </c>
      <c r="D158" s="523" t="s">
        <v>831</v>
      </c>
      <c r="E158" s="524"/>
      <c r="F158" s="73" t="s">
        <v>572</v>
      </c>
      <c r="G158" s="127">
        <f>(G99/G156/12)*1000</f>
        <v>3192.4158610812742</v>
      </c>
      <c r="H158" s="127">
        <f>(H99/H156/12)*1000</f>
        <v>3025.9816050650238</v>
      </c>
      <c r="I158" s="127">
        <f>(I99/I156/12)*1000</f>
        <v>3204.0704070407046</v>
      </c>
      <c r="J158" s="291">
        <f t="shared" si="2"/>
        <v>1.0588532335020107</v>
      </c>
      <c r="K158" s="306"/>
      <c r="L158" s="307"/>
    </row>
    <row r="159" spans="1:12" s="28" customFormat="1" ht="40.5" customHeight="1" thickBot="1">
      <c r="A159" s="308"/>
      <c r="B159" s="73"/>
      <c r="C159" s="305" t="s">
        <v>152</v>
      </c>
      <c r="D159" s="523" t="s">
        <v>830</v>
      </c>
      <c r="E159" s="524"/>
      <c r="F159" s="73" t="s">
        <v>573</v>
      </c>
      <c r="G159" s="127">
        <f>((G99+G103)/G156)/12*1000</f>
        <v>3431.8537414965981</v>
      </c>
      <c r="H159" s="127">
        <f>(H99+H103)/H156/12*1000</f>
        <v>3258.9983744010947</v>
      </c>
      <c r="I159" s="127">
        <f>((I99+I103)/I156)/12*1000</f>
        <v>3430.8226989365598</v>
      </c>
      <c r="J159" s="291">
        <f t="shared" si="2"/>
        <v>1.0527230470211699</v>
      </c>
      <c r="K159" s="306"/>
      <c r="L159" s="307"/>
    </row>
    <row r="160" spans="1:12" s="28" customFormat="1" ht="34.5" customHeight="1" thickBot="1">
      <c r="A160" s="308"/>
      <c r="B160" s="73" t="s">
        <v>66</v>
      </c>
      <c r="C160" s="305" t="s">
        <v>93</v>
      </c>
      <c r="D160" s="523" t="s">
        <v>825</v>
      </c>
      <c r="E160" s="524"/>
      <c r="F160" s="73" t="s">
        <v>575</v>
      </c>
      <c r="G160" s="127">
        <f>G12/G156*1000</f>
        <v>229247.06659505906</v>
      </c>
      <c r="H160" s="127">
        <f>H12/H156*1000</f>
        <v>200516.28336755643</v>
      </c>
      <c r="I160" s="127">
        <f>I12/I156*1000</f>
        <v>227414.50055005503</v>
      </c>
      <c r="J160" s="291">
        <f t="shared" si="2"/>
        <v>1.1341448022612348</v>
      </c>
      <c r="K160" s="306"/>
      <c r="L160" s="307"/>
    </row>
    <row r="161" spans="1:12" s="28" customFormat="1" ht="33" customHeight="1" thickBot="1">
      <c r="A161" s="308"/>
      <c r="B161" s="73"/>
      <c r="C161" s="305" t="s">
        <v>149</v>
      </c>
      <c r="D161" s="523" t="s">
        <v>576</v>
      </c>
      <c r="E161" s="524"/>
      <c r="F161" s="73" t="s">
        <v>577</v>
      </c>
      <c r="G161" s="127">
        <f>G160*102.86%</f>
        <v>235803.53269967774</v>
      </c>
      <c r="H161" s="127">
        <f>H160*104.96%</f>
        <v>210461.8910225872</v>
      </c>
      <c r="I161" s="127">
        <f>I160*104.3%</f>
        <v>237193.32407370739</v>
      </c>
      <c r="J161" s="291">
        <f t="shared" si="2"/>
        <v>1.1270131752653088</v>
      </c>
      <c r="K161" s="306" t="s">
        <v>784</v>
      </c>
      <c r="L161" s="307"/>
    </row>
    <row r="162" spans="1:12" s="28" customFormat="1" ht="33" customHeight="1" thickBot="1">
      <c r="A162" s="308"/>
      <c r="B162" s="73"/>
      <c r="C162" s="305" t="s">
        <v>152</v>
      </c>
      <c r="D162" s="523" t="s">
        <v>578</v>
      </c>
      <c r="E162" s="524"/>
      <c r="F162" s="73" t="s">
        <v>579</v>
      </c>
      <c r="G162" s="127">
        <f>(G12-G28-G31)/G156*1000</f>
        <v>228763.71535982814</v>
      </c>
      <c r="H162" s="127">
        <f>(H12-H28-H31)/H156*1000</f>
        <v>200226.61190965091</v>
      </c>
      <c r="I162" s="127">
        <f>(I12-I28-I31)/I156*1000</f>
        <v>227104.26952695273</v>
      </c>
      <c r="J162" s="291">
        <f t="shared" si="2"/>
        <v>1.134236190489154</v>
      </c>
      <c r="K162" s="306"/>
      <c r="L162" s="307"/>
    </row>
    <row r="163" spans="1:12" s="28" customFormat="1" ht="34.5" customHeight="1" thickBot="1">
      <c r="A163" s="308"/>
      <c r="B163" s="73"/>
      <c r="C163" s="305" t="s">
        <v>155</v>
      </c>
      <c r="D163" s="523" t="s">
        <v>192</v>
      </c>
      <c r="E163" s="524"/>
      <c r="F163" s="73" t="s">
        <v>580</v>
      </c>
      <c r="G163" s="127">
        <f>(G13-G28-G31)/G156*1000</f>
        <v>228522.03974221268</v>
      </c>
      <c r="H163" s="127">
        <f>(H13-H28-H31)/H156*1000</f>
        <v>199487.38809034906</v>
      </c>
      <c r="I163" s="127">
        <f>(I13-I28-I31)/I156*1000</f>
        <v>226664.22552255227</v>
      </c>
      <c r="J163" s="291">
        <f t="shared" si="2"/>
        <v>1.1362333613786886</v>
      </c>
      <c r="K163" s="306"/>
      <c r="L163" s="307"/>
    </row>
    <row r="164" spans="1:12" ht="28.5" customHeight="1" thickBot="1">
      <c r="A164" s="292"/>
      <c r="B164" s="283"/>
      <c r="C164" s="213" t="s">
        <v>94</v>
      </c>
      <c r="D164" s="525" t="s">
        <v>581</v>
      </c>
      <c r="E164" s="526"/>
      <c r="F164" s="73" t="s">
        <v>582</v>
      </c>
      <c r="G164" s="127">
        <v>0</v>
      </c>
      <c r="H164" s="127">
        <v>0</v>
      </c>
      <c r="I164" s="127">
        <v>0</v>
      </c>
      <c r="J164" s="291"/>
      <c r="K164" s="293"/>
      <c r="L164" s="144"/>
    </row>
    <row r="165" spans="1:12" ht="26.25" customHeight="1" thickBot="1">
      <c r="A165" s="292"/>
      <c r="B165" s="283"/>
      <c r="C165" s="213" t="s">
        <v>583</v>
      </c>
      <c r="D165" s="525" t="s">
        <v>826</v>
      </c>
      <c r="E165" s="526"/>
      <c r="F165" s="73" t="s">
        <v>585</v>
      </c>
      <c r="G165" s="127">
        <v>0</v>
      </c>
      <c r="H165" s="127">
        <v>0</v>
      </c>
      <c r="I165" s="127">
        <v>0</v>
      </c>
      <c r="J165" s="291"/>
      <c r="K165" s="293"/>
      <c r="L165" s="144"/>
    </row>
    <row r="166" spans="1:12" ht="13.5" thickBot="1">
      <c r="A166" s="292"/>
      <c r="B166" s="283"/>
      <c r="C166" s="213"/>
      <c r="D166" s="213"/>
      <c r="E166" s="213" t="s">
        <v>586</v>
      </c>
      <c r="F166" s="73" t="s">
        <v>587</v>
      </c>
      <c r="G166" s="127">
        <v>0</v>
      </c>
      <c r="H166" s="127">
        <v>0</v>
      </c>
      <c r="I166" s="127">
        <v>0</v>
      </c>
      <c r="J166" s="291"/>
      <c r="K166" s="293"/>
      <c r="L166" s="144"/>
    </row>
    <row r="167" spans="1:12" ht="13.5" thickBot="1">
      <c r="A167" s="292"/>
      <c r="B167" s="283"/>
      <c r="C167" s="213"/>
      <c r="D167" s="213"/>
      <c r="E167" s="213" t="s">
        <v>588</v>
      </c>
      <c r="F167" s="73" t="s">
        <v>589</v>
      </c>
      <c r="G167" s="127">
        <v>0</v>
      </c>
      <c r="H167" s="127">
        <v>0</v>
      </c>
      <c r="I167" s="127">
        <v>0</v>
      </c>
      <c r="J167" s="291"/>
      <c r="K167" s="302"/>
      <c r="L167" s="144"/>
    </row>
    <row r="168" spans="1:12" ht="13.5" thickBot="1">
      <c r="A168" s="292"/>
      <c r="B168" s="283"/>
      <c r="C168" s="213"/>
      <c r="D168" s="213"/>
      <c r="E168" s="213" t="s">
        <v>590</v>
      </c>
      <c r="F168" s="73" t="s">
        <v>591</v>
      </c>
      <c r="G168" s="127">
        <v>0</v>
      </c>
      <c r="H168" s="127">
        <v>0</v>
      </c>
      <c r="I168" s="127">
        <v>0</v>
      </c>
      <c r="J168" s="291"/>
      <c r="K168" s="302"/>
      <c r="L168" s="144"/>
    </row>
    <row r="169" spans="1:12" ht="13.5" thickBot="1">
      <c r="A169" s="285"/>
      <c r="B169" s="283"/>
      <c r="C169" s="213"/>
      <c r="D169" s="213"/>
      <c r="E169" s="296" t="s">
        <v>592</v>
      </c>
      <c r="F169" s="73" t="s">
        <v>593</v>
      </c>
      <c r="G169" s="127">
        <v>0</v>
      </c>
      <c r="H169" s="127">
        <v>0</v>
      </c>
      <c r="I169" s="127">
        <v>0</v>
      </c>
      <c r="J169" s="291"/>
      <c r="K169" s="302"/>
      <c r="L169" s="144"/>
    </row>
    <row r="170" spans="1:12">
      <c r="A170" s="144"/>
      <c r="B170" s="274"/>
      <c r="C170" s="144"/>
      <c r="D170" s="144"/>
      <c r="E170" s="144"/>
      <c r="F170" s="144"/>
      <c r="G170" s="144"/>
      <c r="H170" s="144"/>
      <c r="I170" s="144"/>
      <c r="J170" s="144"/>
      <c r="K170" s="269"/>
      <c r="L170" s="144"/>
    </row>
    <row r="171" spans="1:12">
      <c r="A171" s="144"/>
      <c r="B171" s="274"/>
      <c r="C171" s="144"/>
      <c r="D171" s="144"/>
      <c r="E171" s="144"/>
      <c r="F171" s="144"/>
      <c r="G171" s="144"/>
      <c r="H171" s="309"/>
      <c r="I171" s="144"/>
      <c r="J171" s="144"/>
      <c r="K171" s="269"/>
      <c r="L171" s="144"/>
    </row>
    <row r="172" spans="1:12">
      <c r="A172" s="144"/>
      <c r="B172" s="274"/>
      <c r="C172" s="144"/>
      <c r="D172" s="144"/>
      <c r="E172" s="310"/>
      <c r="F172" s="144"/>
      <c r="G172" s="144"/>
      <c r="H172" s="309"/>
      <c r="I172" s="144"/>
      <c r="J172" s="144"/>
      <c r="K172" s="269"/>
      <c r="L172" s="144"/>
    </row>
    <row r="173" spans="1:12">
      <c r="A173" s="144"/>
      <c r="B173" s="274"/>
      <c r="C173" s="144"/>
      <c r="D173" s="144"/>
      <c r="E173" s="311" t="s">
        <v>771</v>
      </c>
      <c r="F173" s="144"/>
      <c r="G173" s="144"/>
      <c r="H173" s="312" t="s">
        <v>770</v>
      </c>
      <c r="I173" s="144"/>
      <c r="J173" s="144"/>
      <c r="K173" s="269"/>
      <c r="L173" s="144"/>
    </row>
    <row r="174" spans="1:12">
      <c r="A174" s="144"/>
      <c r="B174" s="274"/>
      <c r="C174" s="144"/>
      <c r="D174" s="144"/>
      <c r="E174" s="144" t="s">
        <v>772</v>
      </c>
      <c r="F174" s="144"/>
      <c r="G174" s="144"/>
      <c r="H174" s="273" t="s">
        <v>773</v>
      </c>
      <c r="I174" s="144"/>
      <c r="J174" s="144"/>
      <c r="K174" s="269"/>
      <c r="L174" s="144"/>
    </row>
    <row r="175" spans="1:12">
      <c r="A175" s="144"/>
      <c r="B175" s="274"/>
      <c r="C175" s="144"/>
      <c r="D175" s="144"/>
      <c r="E175" s="144"/>
      <c r="F175" s="144"/>
      <c r="G175" s="144"/>
      <c r="H175" s="273"/>
      <c r="I175" s="144"/>
      <c r="J175" s="144"/>
      <c r="K175" s="269"/>
      <c r="L175" s="144"/>
    </row>
    <row r="176" spans="1:12">
      <c r="A176" s="144"/>
      <c r="B176" s="274"/>
      <c r="C176" s="144"/>
      <c r="D176" s="144"/>
      <c r="E176" s="144"/>
      <c r="F176" s="144"/>
      <c r="G176" s="144"/>
      <c r="H176" s="144"/>
      <c r="I176" s="144"/>
      <c r="J176" s="144"/>
      <c r="K176" s="269"/>
      <c r="L176" s="144"/>
    </row>
    <row r="177" spans="1:12">
      <c r="A177" s="144"/>
      <c r="B177" s="274"/>
      <c r="C177" s="144"/>
      <c r="D177" s="144"/>
      <c r="E177" s="144"/>
      <c r="F177" s="144"/>
      <c r="G177" s="144"/>
      <c r="H177" s="144"/>
      <c r="I177" s="144"/>
      <c r="J177" s="144"/>
      <c r="K177" s="269"/>
      <c r="L177" s="144"/>
    </row>
    <row r="178" spans="1:12">
      <c r="A178" s="144"/>
      <c r="B178" s="274"/>
      <c r="C178" s="144"/>
      <c r="D178" s="144"/>
      <c r="E178" s="144"/>
      <c r="F178" s="144"/>
      <c r="G178" s="144"/>
      <c r="H178" s="273"/>
      <c r="I178" s="144"/>
      <c r="J178" s="144"/>
      <c r="K178" s="269"/>
      <c r="L178" s="144"/>
    </row>
    <row r="179" spans="1:12">
      <c r="A179" s="144"/>
      <c r="B179" s="274"/>
      <c r="C179" s="144"/>
      <c r="D179" s="144"/>
      <c r="E179" s="144"/>
      <c r="F179" s="144"/>
      <c r="G179" s="144"/>
      <c r="H179" s="273"/>
      <c r="I179" s="144"/>
      <c r="J179" s="144"/>
      <c r="K179" s="269"/>
      <c r="L179" s="144"/>
    </row>
    <row r="180" spans="1:12">
      <c r="A180" s="144"/>
      <c r="B180" s="274"/>
      <c r="C180" s="144"/>
      <c r="D180" s="144"/>
      <c r="E180" s="144"/>
      <c r="F180" s="144"/>
      <c r="G180" s="144"/>
      <c r="H180" s="273"/>
      <c r="I180" s="144"/>
      <c r="J180" s="144"/>
      <c r="K180" s="269"/>
      <c r="L180" s="144"/>
    </row>
    <row r="181" spans="1:12">
      <c r="A181" s="144"/>
      <c r="B181" s="274"/>
      <c r="C181" s="144"/>
      <c r="D181" s="144"/>
      <c r="E181" s="144"/>
      <c r="F181" s="144"/>
      <c r="G181" s="144"/>
      <c r="H181" s="273"/>
      <c r="I181" s="144"/>
      <c r="J181" s="144"/>
      <c r="K181" s="269"/>
      <c r="L181" s="144"/>
    </row>
    <row r="182" spans="1:12">
      <c r="A182" s="144"/>
      <c r="B182" s="274"/>
      <c r="C182" s="144"/>
      <c r="D182" s="144"/>
      <c r="E182" s="144"/>
      <c r="F182" s="144"/>
      <c r="G182" s="144"/>
      <c r="H182" s="273"/>
      <c r="I182" s="144"/>
      <c r="J182" s="144"/>
      <c r="K182" s="269"/>
      <c r="L182" s="144"/>
    </row>
    <row r="183" spans="1:12">
      <c r="A183" s="144"/>
      <c r="B183" s="274"/>
      <c r="C183" s="144"/>
      <c r="D183" s="144"/>
      <c r="E183" s="144"/>
      <c r="F183" s="144"/>
      <c r="G183" s="144"/>
      <c r="H183" s="273"/>
      <c r="I183" s="144"/>
      <c r="J183" s="144"/>
      <c r="K183" s="269"/>
      <c r="L183" s="144"/>
    </row>
    <row r="184" spans="1:12">
      <c r="A184" s="144"/>
      <c r="B184" s="274"/>
      <c r="C184" s="144"/>
      <c r="D184" s="144"/>
      <c r="E184" s="144"/>
      <c r="F184" s="144"/>
      <c r="G184" s="144"/>
      <c r="H184" s="273"/>
      <c r="I184" s="144"/>
      <c r="J184" s="144"/>
      <c r="K184" s="269"/>
      <c r="L184" s="144"/>
    </row>
    <row r="185" spans="1:12">
      <c r="A185" s="144"/>
      <c r="B185" s="274"/>
      <c r="C185" s="144"/>
      <c r="D185" s="144"/>
      <c r="E185" s="144"/>
      <c r="F185" s="144"/>
      <c r="G185" s="144"/>
      <c r="H185" s="273"/>
      <c r="I185" s="144"/>
      <c r="J185" s="144"/>
      <c r="K185" s="269"/>
      <c r="L185" s="144"/>
    </row>
    <row r="186" spans="1:12">
      <c r="A186" s="144"/>
      <c r="B186" s="274"/>
      <c r="C186" s="144"/>
      <c r="D186" s="144"/>
      <c r="E186" s="144"/>
      <c r="F186" s="144"/>
      <c r="G186" s="144"/>
      <c r="H186" s="273"/>
      <c r="I186" s="144"/>
      <c r="J186" s="144"/>
      <c r="K186" s="269"/>
      <c r="L186" s="144"/>
    </row>
    <row r="187" spans="1:12">
      <c r="A187" s="144"/>
      <c r="B187" s="274"/>
      <c r="C187" s="144"/>
      <c r="D187" s="144"/>
      <c r="E187" s="144"/>
      <c r="F187" s="144"/>
      <c r="G187" s="144"/>
      <c r="H187" s="273"/>
      <c r="I187" s="144"/>
      <c r="J187" s="144"/>
      <c r="K187" s="269"/>
      <c r="L187" s="144"/>
    </row>
    <row r="188" spans="1:12">
      <c r="A188" s="144"/>
      <c r="B188" s="274"/>
      <c r="C188" s="144"/>
      <c r="D188" s="144"/>
      <c r="E188" s="144"/>
      <c r="F188" s="144"/>
      <c r="G188" s="144"/>
      <c r="H188" s="273"/>
      <c r="I188" s="144"/>
      <c r="J188" s="144"/>
      <c r="K188" s="269"/>
      <c r="L188" s="144"/>
    </row>
    <row r="189" spans="1:12">
      <c r="A189" s="144"/>
      <c r="B189" s="274"/>
      <c r="C189" s="144"/>
      <c r="D189" s="144"/>
      <c r="E189" s="144"/>
      <c r="F189" s="144"/>
      <c r="G189" s="144"/>
      <c r="H189" s="273"/>
      <c r="I189" s="144"/>
      <c r="J189" s="144"/>
      <c r="K189" s="269"/>
      <c r="L189" s="144"/>
    </row>
    <row r="190" spans="1:12">
      <c r="A190" s="144"/>
      <c r="B190" s="274"/>
      <c r="C190" s="144"/>
      <c r="D190" s="144"/>
      <c r="E190" s="144"/>
      <c r="F190" s="144"/>
      <c r="G190" s="144"/>
      <c r="H190" s="273"/>
      <c r="I190" s="144"/>
      <c r="J190" s="144"/>
      <c r="K190" s="269"/>
      <c r="L190" s="144"/>
    </row>
    <row r="191" spans="1:12">
      <c r="A191" s="144"/>
      <c r="B191" s="274"/>
      <c r="C191" s="144"/>
      <c r="D191" s="144"/>
      <c r="E191" s="144"/>
      <c r="F191" s="144"/>
      <c r="G191" s="144"/>
      <c r="H191" s="273"/>
      <c r="I191" s="144"/>
      <c r="J191" s="144"/>
      <c r="K191" s="269"/>
      <c r="L191" s="144"/>
    </row>
    <row r="192" spans="1:12">
      <c r="A192" s="144"/>
      <c r="B192" s="274"/>
      <c r="C192" s="144"/>
      <c r="D192" s="144"/>
      <c r="E192" s="144"/>
      <c r="F192" s="144"/>
      <c r="G192" s="144"/>
      <c r="H192" s="273"/>
      <c r="I192" s="144"/>
      <c r="J192" s="144"/>
      <c r="K192" s="269"/>
      <c r="L192" s="144"/>
    </row>
    <row r="193" spans="1:12">
      <c r="A193" s="144"/>
      <c r="B193" s="274"/>
      <c r="C193" s="144"/>
      <c r="D193" s="144"/>
      <c r="E193" s="144"/>
      <c r="F193" s="144"/>
      <c r="G193" s="144"/>
      <c r="H193" s="273"/>
      <c r="I193" s="144"/>
      <c r="J193" s="144"/>
      <c r="K193" s="269"/>
      <c r="L193" s="144"/>
    </row>
    <row r="194" spans="1:12">
      <c r="A194" s="144"/>
      <c r="B194" s="274"/>
      <c r="C194" s="144"/>
      <c r="D194" s="144"/>
      <c r="E194" s="144"/>
      <c r="F194" s="144"/>
      <c r="G194" s="144"/>
      <c r="H194" s="273"/>
      <c r="I194" s="144"/>
      <c r="J194" s="144"/>
      <c r="K194" s="269"/>
      <c r="L194" s="144"/>
    </row>
    <row r="195" spans="1:12">
      <c r="A195" s="144"/>
      <c r="B195" s="274"/>
      <c r="C195" s="144"/>
      <c r="D195" s="144"/>
      <c r="E195" s="144"/>
      <c r="F195" s="144"/>
      <c r="G195" s="144"/>
      <c r="H195" s="273"/>
      <c r="I195" s="144"/>
      <c r="J195" s="144"/>
      <c r="K195" s="269"/>
      <c r="L195" s="144"/>
    </row>
    <row r="196" spans="1:12">
      <c r="A196" s="144"/>
      <c r="B196" s="274"/>
      <c r="C196" s="144"/>
      <c r="D196" s="144"/>
      <c r="E196" s="144"/>
      <c r="F196" s="144"/>
      <c r="G196" s="144"/>
      <c r="H196" s="273"/>
      <c r="I196" s="144"/>
      <c r="J196" s="144"/>
      <c r="K196" s="269"/>
      <c r="L196" s="144"/>
    </row>
    <row r="197" spans="1:12">
      <c r="A197" s="144"/>
      <c r="B197" s="274"/>
      <c r="C197" s="144"/>
      <c r="D197" s="144"/>
      <c r="E197" s="144"/>
      <c r="F197" s="144"/>
      <c r="G197" s="144"/>
      <c r="H197" s="273"/>
      <c r="I197" s="144"/>
      <c r="J197" s="144"/>
      <c r="K197" s="269"/>
      <c r="L197" s="144"/>
    </row>
    <row r="198" spans="1:12">
      <c r="A198" s="144"/>
      <c r="B198" s="274"/>
      <c r="C198" s="144"/>
      <c r="D198" s="144"/>
      <c r="E198" s="144"/>
      <c r="F198" s="144"/>
      <c r="G198" s="144"/>
      <c r="H198" s="273"/>
      <c r="I198" s="144"/>
      <c r="J198" s="144"/>
      <c r="K198" s="269"/>
      <c r="L198" s="144"/>
    </row>
    <row r="199" spans="1:12">
      <c r="A199" s="144"/>
      <c r="B199" s="274"/>
      <c r="C199" s="144"/>
      <c r="D199" s="144"/>
      <c r="E199" s="144"/>
      <c r="F199" s="144"/>
      <c r="G199" s="144"/>
      <c r="H199" s="273"/>
      <c r="I199" s="144"/>
      <c r="J199" s="144"/>
      <c r="K199" s="269"/>
      <c r="L199" s="144"/>
    </row>
    <row r="200" spans="1:12">
      <c r="A200" s="144"/>
      <c r="B200" s="274"/>
      <c r="C200" s="144"/>
      <c r="D200" s="144"/>
      <c r="E200" s="144"/>
      <c r="F200" s="144"/>
      <c r="G200" s="144"/>
      <c r="H200" s="273"/>
      <c r="I200" s="144"/>
      <c r="J200" s="144"/>
      <c r="K200" s="269"/>
      <c r="L200" s="144"/>
    </row>
    <row r="201" spans="1:12">
      <c r="A201" s="144"/>
      <c r="B201" s="274"/>
      <c r="C201" s="144"/>
      <c r="D201" s="144"/>
      <c r="E201" s="144"/>
      <c r="F201" s="144"/>
      <c r="G201" s="144"/>
      <c r="H201" s="273"/>
      <c r="I201" s="144"/>
      <c r="J201" s="144"/>
      <c r="K201" s="269"/>
      <c r="L201" s="144"/>
    </row>
    <row r="202" spans="1:12">
      <c r="A202" s="144"/>
      <c r="B202" s="274"/>
      <c r="C202" s="144"/>
      <c r="D202" s="144"/>
      <c r="E202" s="144"/>
      <c r="F202" s="144"/>
      <c r="G202" s="144"/>
      <c r="H202" s="273"/>
      <c r="I202" s="144"/>
      <c r="J202" s="144"/>
      <c r="K202" s="144"/>
      <c r="L202" s="144"/>
    </row>
    <row r="203" spans="1:12">
      <c r="A203" s="144"/>
      <c r="B203" s="274"/>
      <c r="C203" s="144"/>
      <c r="D203" s="144"/>
      <c r="E203" s="144"/>
      <c r="F203" s="144"/>
      <c r="G203" s="144"/>
      <c r="H203" s="273"/>
      <c r="I203" s="144"/>
      <c r="J203" s="144"/>
      <c r="K203" s="144"/>
      <c r="L203" s="144"/>
    </row>
    <row r="204" spans="1:12">
      <c r="H204" s="48"/>
    </row>
    <row r="205" spans="1:12">
      <c r="H205" s="48"/>
    </row>
    <row r="206" spans="1:12">
      <c r="H206" s="48"/>
    </row>
    <row r="207" spans="1:12">
      <c r="H207" s="48"/>
    </row>
    <row r="208" spans="1:12">
      <c r="H208" s="48"/>
    </row>
    <row r="209" spans="8:8">
      <c r="H209" s="48"/>
    </row>
    <row r="210" spans="8:8">
      <c r="H210" s="48"/>
    </row>
  </sheetData>
  <mergeCells count="127">
    <mergeCell ref="C116:C119"/>
    <mergeCell ref="D116:E116"/>
    <mergeCell ref="D117:E117"/>
    <mergeCell ref="D118:E118"/>
    <mergeCell ref="D119:E119"/>
    <mergeCell ref="D123:E123"/>
    <mergeCell ref="C121:C124"/>
    <mergeCell ref="D124:E124"/>
    <mergeCell ref="D120:E120"/>
    <mergeCell ref="C127:E127"/>
    <mergeCell ref="D128:E128"/>
    <mergeCell ref="D129:E129"/>
    <mergeCell ref="D121:E121"/>
    <mergeCell ref="D122:E122"/>
    <mergeCell ref="D163:E163"/>
    <mergeCell ref="D164:E164"/>
    <mergeCell ref="D165:E165"/>
    <mergeCell ref="D157:E157"/>
    <mergeCell ref="D158:E158"/>
    <mergeCell ref="D159:E159"/>
    <mergeCell ref="D160:E160"/>
    <mergeCell ref="D161:E161"/>
    <mergeCell ref="D162:E162"/>
    <mergeCell ref="D96:E96"/>
    <mergeCell ref="D100:E100"/>
    <mergeCell ref="D94:E94"/>
    <mergeCell ref="A155:A156"/>
    <mergeCell ref="D155:E155"/>
    <mergeCell ref="D156:E156"/>
    <mergeCell ref="D132:E132"/>
    <mergeCell ref="D133:E133"/>
    <mergeCell ref="D134:E134"/>
    <mergeCell ref="D135:E135"/>
    <mergeCell ref="A125:A150"/>
    <mergeCell ref="B125:B135"/>
    <mergeCell ref="C125:C126"/>
    <mergeCell ref="D125:E125"/>
    <mergeCell ref="D126:E126"/>
    <mergeCell ref="D130:E130"/>
    <mergeCell ref="D149:E149"/>
    <mergeCell ref="D146:E146"/>
    <mergeCell ref="D142:E142"/>
    <mergeCell ref="D131:E131"/>
    <mergeCell ref="D154:E154"/>
    <mergeCell ref="D151:E151"/>
    <mergeCell ref="D153:E153"/>
    <mergeCell ref="D150:E150"/>
    <mergeCell ref="B143:B149"/>
    <mergeCell ref="D143:E143"/>
    <mergeCell ref="A70:A100"/>
    <mergeCell ref="D103:E103"/>
    <mergeCell ref="D104:E104"/>
    <mergeCell ref="D110:E110"/>
    <mergeCell ref="D107:E107"/>
    <mergeCell ref="D99:E99"/>
    <mergeCell ref="D97:E97"/>
    <mergeCell ref="C98:E98"/>
    <mergeCell ref="A101:A124"/>
    <mergeCell ref="B101:B124"/>
    <mergeCell ref="D111:E111"/>
    <mergeCell ref="D108:E108"/>
    <mergeCell ref="D109:E109"/>
    <mergeCell ref="D115:E115"/>
    <mergeCell ref="D112:E112"/>
    <mergeCell ref="D114:E114"/>
    <mergeCell ref="D113:E113"/>
    <mergeCell ref="C101:C102"/>
    <mergeCell ref="D101:E101"/>
    <mergeCell ref="D102:E102"/>
    <mergeCell ref="B70:B100"/>
    <mergeCell ref="C91:E91"/>
    <mergeCell ref="D92:E92"/>
    <mergeCell ref="D93:E93"/>
    <mergeCell ref="D95:E95"/>
    <mergeCell ref="D76:E76"/>
    <mergeCell ref="D77:E77"/>
    <mergeCell ref="D54:E54"/>
    <mergeCell ref="D57:E57"/>
    <mergeCell ref="D74:E74"/>
    <mergeCell ref="D59:E59"/>
    <mergeCell ref="D60:E60"/>
    <mergeCell ref="D62:E62"/>
    <mergeCell ref="D69:E69"/>
    <mergeCell ref="D58:E58"/>
    <mergeCell ref="D81:E81"/>
    <mergeCell ref="D90:E90"/>
    <mergeCell ref="D75:E75"/>
    <mergeCell ref="D80:E80"/>
    <mergeCell ref="D78:E78"/>
    <mergeCell ref="D79:E79"/>
    <mergeCell ref="D6:I6"/>
    <mergeCell ref="A9:B9"/>
    <mergeCell ref="D36:E36"/>
    <mergeCell ref="B11:C11"/>
    <mergeCell ref="D11:E11"/>
    <mergeCell ref="D12:E12"/>
    <mergeCell ref="D13:E13"/>
    <mergeCell ref="D14:E14"/>
    <mergeCell ref="D35:E35"/>
    <mergeCell ref="D25:E25"/>
    <mergeCell ref="D45:E45"/>
    <mergeCell ref="B41:E41"/>
    <mergeCell ref="D52:E52"/>
    <mergeCell ref="D53:E53"/>
    <mergeCell ref="D49:E49"/>
    <mergeCell ref="D50:E50"/>
    <mergeCell ref="D51:E51"/>
    <mergeCell ref="D34:E34"/>
    <mergeCell ref="A2:D2"/>
    <mergeCell ref="A3:D3"/>
    <mergeCell ref="A4:D4"/>
    <mergeCell ref="D5:J5"/>
    <mergeCell ref="D46:E46"/>
    <mergeCell ref="D40:E40"/>
    <mergeCell ref="C42:E42"/>
    <mergeCell ref="C43:E43"/>
    <mergeCell ref="D44:E44"/>
    <mergeCell ref="G9:H9"/>
    <mergeCell ref="D20:E20"/>
    <mergeCell ref="D24:E24"/>
    <mergeCell ref="D19:E19"/>
    <mergeCell ref="A10:B10"/>
    <mergeCell ref="D39:E39"/>
    <mergeCell ref="D9:E10"/>
    <mergeCell ref="D26:E26"/>
    <mergeCell ref="D37:E37"/>
    <mergeCell ref="D38:E38"/>
  </mergeCells>
  <phoneticPr fontId="21" type="noConversion"/>
  <pageMargins left="0.2" right="0" top="0.25" bottom="0.25" header="0.3" footer="0.3"/>
  <pageSetup orientation="landscape" cellComments="atEnd" verticalDpi="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K27"/>
  <sheetViews>
    <sheetView workbookViewId="0">
      <selection activeCell="C25" sqref="C25"/>
    </sheetView>
  </sheetViews>
  <sheetFormatPr defaultRowHeight="12.75"/>
  <cols>
    <col min="1" max="1" width="7.28515625" style="1" customWidth="1"/>
    <col min="2" max="2" width="30.42578125" style="1" customWidth="1"/>
    <col min="3" max="3" width="11.140625" style="1" bestFit="1" customWidth="1"/>
    <col min="4" max="4" width="12.140625" style="1" customWidth="1"/>
    <col min="5" max="5" width="12" style="1" customWidth="1"/>
    <col min="6" max="6" width="11.85546875" style="1" customWidth="1"/>
    <col min="7" max="7" width="11.5703125" style="1" customWidth="1"/>
    <col min="8" max="8" width="12.42578125" style="1" customWidth="1"/>
    <col min="9" max="9" width="12.140625" style="1" customWidth="1"/>
    <col min="10" max="10" width="10.140625" style="1" customWidth="1"/>
    <col min="11" max="16384" width="9.140625" style="1"/>
  </cols>
  <sheetData>
    <row r="2" spans="1:10">
      <c r="A2" s="452" t="s">
        <v>733</v>
      </c>
      <c r="B2" s="452"/>
      <c r="C2" s="452"/>
      <c r="D2" s="452"/>
    </row>
    <row r="3" spans="1:10">
      <c r="A3" s="452" t="s">
        <v>734</v>
      </c>
      <c r="B3" s="452"/>
      <c r="C3" s="452"/>
      <c r="D3" s="452"/>
      <c r="I3" s="2" t="s">
        <v>52</v>
      </c>
    </row>
    <row r="4" spans="1:10">
      <c r="A4" s="452" t="s">
        <v>735</v>
      </c>
      <c r="B4" s="452"/>
      <c r="C4" s="452"/>
      <c r="D4" s="452"/>
    </row>
    <row r="5" spans="1:10">
      <c r="A5" s="85"/>
      <c r="B5" s="85"/>
      <c r="C5" s="85"/>
      <c r="D5" s="7" t="s">
        <v>736</v>
      </c>
      <c r="E5" s="7"/>
      <c r="F5" s="7"/>
      <c r="G5" s="7"/>
      <c r="H5" s="7"/>
      <c r="I5" s="7"/>
      <c r="J5" s="7"/>
    </row>
    <row r="6" spans="1:10">
      <c r="A6" s="85"/>
      <c r="B6" s="85"/>
      <c r="C6" s="85"/>
      <c r="D6" s="7" t="s">
        <v>2</v>
      </c>
      <c r="E6" s="7"/>
      <c r="F6" s="7"/>
      <c r="G6" s="7"/>
      <c r="H6" s="7"/>
      <c r="I6" s="7"/>
    </row>
    <row r="7" spans="1:10">
      <c r="A7" s="85"/>
      <c r="B7" s="85"/>
      <c r="C7" s="85"/>
      <c r="D7" s="86"/>
      <c r="E7" s="86"/>
      <c r="F7" s="86"/>
      <c r="G7" s="86"/>
      <c r="H7" s="86"/>
      <c r="I7" s="86"/>
    </row>
    <row r="8" spans="1:10" ht="13.5" thickBot="1">
      <c r="I8" s="1" t="s">
        <v>822</v>
      </c>
    </row>
    <row r="9" spans="1:10" ht="13.5" thickBot="1">
      <c r="A9" s="3" t="s">
        <v>594</v>
      </c>
      <c r="B9" s="528" t="s">
        <v>60</v>
      </c>
      <c r="C9" s="528" t="s">
        <v>206</v>
      </c>
      <c r="D9" s="529"/>
      <c r="E9" s="530"/>
      <c r="F9" s="93" t="s">
        <v>253</v>
      </c>
      <c r="G9" s="528" t="s">
        <v>207</v>
      </c>
      <c r="H9" s="529"/>
      <c r="I9" s="530"/>
      <c r="J9" s="93" t="s">
        <v>253</v>
      </c>
    </row>
    <row r="10" spans="1:10" ht="13.5" thickBot="1">
      <c r="A10" s="3" t="s">
        <v>595</v>
      </c>
      <c r="B10" s="531"/>
      <c r="C10" s="92" t="s">
        <v>63</v>
      </c>
      <c r="D10" s="103" t="s">
        <v>596</v>
      </c>
      <c r="E10" s="103" t="s">
        <v>597</v>
      </c>
      <c r="F10" s="103" t="s">
        <v>598</v>
      </c>
      <c r="G10" s="103" t="s">
        <v>63</v>
      </c>
      <c r="H10" s="103" t="s">
        <v>596</v>
      </c>
      <c r="I10" s="103" t="s">
        <v>597</v>
      </c>
      <c r="J10" s="172" t="s">
        <v>599</v>
      </c>
    </row>
    <row r="11" spans="1:10" ht="13.5" thickBot="1">
      <c r="A11" s="93" t="s">
        <v>96</v>
      </c>
      <c r="B11" s="93" t="s">
        <v>3</v>
      </c>
      <c r="C11" s="94" t="s">
        <v>71</v>
      </c>
      <c r="D11" s="94" t="s">
        <v>65</v>
      </c>
      <c r="E11" s="94" t="s">
        <v>66</v>
      </c>
      <c r="F11" s="94" t="s">
        <v>80</v>
      </c>
      <c r="G11" s="94" t="s">
        <v>67</v>
      </c>
      <c r="H11" s="94" t="s">
        <v>4</v>
      </c>
      <c r="I11" s="94" t="s">
        <v>68</v>
      </c>
      <c r="J11" s="171" t="s">
        <v>92</v>
      </c>
    </row>
    <row r="12" spans="1:10">
      <c r="A12" s="102" t="s">
        <v>3</v>
      </c>
      <c r="B12" s="161" t="s">
        <v>786</v>
      </c>
      <c r="C12" s="162">
        <f>SUM(C13:C16)</f>
        <v>193633.26800000001</v>
      </c>
      <c r="D12" s="163">
        <f>SUM(D13:D16)</f>
        <v>249772.70600000001</v>
      </c>
      <c r="E12" s="163">
        <f>SUM(E13:E16)</f>
        <v>205100.04700000002</v>
      </c>
      <c r="F12" s="164">
        <f>E12/C12</f>
        <v>1.0592190542381386</v>
      </c>
      <c r="G12" s="162">
        <f>SUM(G13:G16)</f>
        <v>175564.652</v>
      </c>
      <c r="H12" s="163">
        <f>SUM(H13:H16)</f>
        <v>160511.95599999998</v>
      </c>
      <c r="I12" s="163">
        <f>SUM(I13:I16)</f>
        <v>127370.879</v>
      </c>
      <c r="J12" s="165">
        <f>I12/G12</f>
        <v>0.72549273187406771</v>
      </c>
    </row>
    <row r="13" spans="1:10">
      <c r="A13" s="88" t="s">
        <v>71</v>
      </c>
      <c r="B13" s="104" t="s">
        <v>600</v>
      </c>
      <c r="C13" s="116">
        <v>186516.76800000001</v>
      </c>
      <c r="D13" s="160">
        <v>184730.59899999999</v>
      </c>
      <c r="E13" s="116">
        <v>140057.94</v>
      </c>
      <c r="F13" s="153">
        <f>E13/C13</f>
        <v>0.75091339777022081</v>
      </c>
      <c r="G13" s="116">
        <f ca="1">('anexa 2intermediar'!G14)/1000</f>
        <v>167614.652</v>
      </c>
      <c r="H13" s="160">
        <f ca="1">('anexa 2intermediar'!H14)/1000</f>
        <v>156271.125</v>
      </c>
      <c r="I13" s="116">
        <v>123130.048</v>
      </c>
      <c r="J13" s="154">
        <f>I13/G13</f>
        <v>0.73460193682829111</v>
      </c>
    </row>
    <row r="14" spans="1:10">
      <c r="A14" s="88" t="s">
        <v>65</v>
      </c>
      <c r="B14" s="104" t="s">
        <v>601</v>
      </c>
      <c r="C14" s="116">
        <v>1</v>
      </c>
      <c r="D14" s="160">
        <v>0</v>
      </c>
      <c r="E14" s="116">
        <v>0</v>
      </c>
      <c r="F14" s="153">
        <v>0</v>
      </c>
      <c r="G14" s="116">
        <v>0</v>
      </c>
      <c r="H14" s="116">
        <v>0</v>
      </c>
      <c r="I14" s="116">
        <v>0</v>
      </c>
      <c r="J14" s="154"/>
    </row>
    <row r="15" spans="1:10">
      <c r="A15" s="88" t="s">
        <v>66</v>
      </c>
      <c r="B15" s="104" t="s">
        <v>602</v>
      </c>
      <c r="C15" s="116">
        <v>2000</v>
      </c>
      <c r="D15" s="160">
        <v>1109.1110000000001</v>
      </c>
      <c r="E15" s="116">
        <v>1109.1110000000001</v>
      </c>
      <c r="F15" s="153">
        <f>E15/C15</f>
        <v>0.55455550000000009</v>
      </c>
      <c r="G15" s="116">
        <f ca="1">('anexa 2intermediar'!G24)/1000</f>
        <v>4500</v>
      </c>
      <c r="H15" s="116">
        <f ca="1">('anexa 2intermediar'!H24)/1000</f>
        <v>692.41399999999999</v>
      </c>
      <c r="I15" s="116">
        <f>H15</f>
        <v>692.41399999999999</v>
      </c>
      <c r="J15" s="154">
        <f>I15/G15</f>
        <v>0.15386977777777777</v>
      </c>
    </row>
    <row r="16" spans="1:10" ht="13.5" thickBot="1">
      <c r="A16" s="92" t="s">
        <v>80</v>
      </c>
      <c r="B16" s="166" t="s">
        <v>603</v>
      </c>
      <c r="C16" s="167">
        <v>5115.5</v>
      </c>
      <c r="D16" s="168">
        <v>63932.995999999999</v>
      </c>
      <c r="E16" s="167">
        <v>63932.995999999999</v>
      </c>
      <c r="F16" s="169">
        <f>E16/C16</f>
        <v>12.497897761704623</v>
      </c>
      <c r="G16" s="167">
        <f ca="1">('anexa 2intermediar'!G26)/1000</f>
        <v>3450</v>
      </c>
      <c r="H16" s="167">
        <f ca="1">('anexa 2intermediar'!H26)/1000</f>
        <v>3548.4169999999999</v>
      </c>
      <c r="I16" s="167">
        <f>H16</f>
        <v>3548.4169999999999</v>
      </c>
      <c r="J16" s="170">
        <f>I16/G16</f>
        <v>1.0285266666666666</v>
      </c>
    </row>
    <row r="18" spans="1:11">
      <c r="A18" s="6" t="s">
        <v>604</v>
      </c>
    </row>
    <row r="19" spans="1:11">
      <c r="A19" s="6" t="s">
        <v>605</v>
      </c>
    </row>
    <row r="21" spans="1:11">
      <c r="A21" s="6"/>
      <c r="B21" s="1" t="s">
        <v>771</v>
      </c>
      <c r="E21" s="1" t="s">
        <v>770</v>
      </c>
    </row>
    <row r="22" spans="1:11">
      <c r="B22" s="1" t="s">
        <v>772</v>
      </c>
      <c r="E22" s="1" t="s">
        <v>773</v>
      </c>
    </row>
    <row r="24" spans="1:11">
      <c r="H24" s="48"/>
      <c r="K24" s="86"/>
    </row>
    <row r="25" spans="1:11">
      <c r="H25" s="48"/>
      <c r="K25" s="86"/>
    </row>
    <row r="26" spans="1:11">
      <c r="H26" s="48"/>
      <c r="K26" s="86"/>
    </row>
    <row r="27" spans="1:11">
      <c r="H27" s="48"/>
      <c r="K27" s="86"/>
    </row>
  </sheetData>
  <mergeCells count="6">
    <mergeCell ref="G9:I9"/>
    <mergeCell ref="A2:D2"/>
    <mergeCell ref="A3:D3"/>
    <mergeCell ref="A4:D4"/>
    <mergeCell ref="B9:B10"/>
    <mergeCell ref="C9:E9"/>
  </mergeCells>
  <phoneticPr fontId="21" type="noConversion"/>
  <pageMargins left="0.7" right="0.7" top="0.75" bottom="0.75" header="0.3" footer="0.3"/>
  <pageSetup paperSize="9" orientation="landscape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X164"/>
  <sheetViews>
    <sheetView workbookViewId="0">
      <selection activeCell="F6" sqref="F6"/>
    </sheetView>
  </sheetViews>
  <sheetFormatPr defaultRowHeight="12.75"/>
  <cols>
    <col min="1" max="1" width="9.140625" style="1"/>
    <col min="2" max="2" width="3.85546875" style="1" customWidth="1"/>
    <col min="3" max="4" width="3.7109375" style="1" customWidth="1"/>
    <col min="5" max="5" width="5.28515625" style="1" customWidth="1"/>
    <col min="6" max="6" width="53" style="85" customWidth="1"/>
    <col min="7" max="7" width="5.28515625" style="1" customWidth="1"/>
    <col min="8" max="8" width="13.140625" style="1" customWidth="1"/>
    <col min="9" max="9" width="10.42578125" style="1" bestFit="1" customWidth="1"/>
    <col min="10" max="10" width="11.140625" style="1" customWidth="1"/>
    <col min="11" max="11" width="10.85546875" style="1" bestFit="1" customWidth="1"/>
    <col min="12" max="12" width="11.85546875" style="1" customWidth="1"/>
    <col min="13" max="13" width="0" style="1" hidden="1" customWidth="1"/>
    <col min="14" max="14" width="10" style="1" hidden="1" customWidth="1"/>
    <col min="15" max="18" width="0" style="1" hidden="1" customWidth="1"/>
    <col min="19" max="19" width="9.140625" style="1"/>
    <col min="20" max="20" width="9.7109375" style="1" bestFit="1" customWidth="1"/>
    <col min="21" max="21" width="10.140625" style="1" bestFit="1" customWidth="1"/>
    <col min="22" max="22" width="10.7109375" style="1" customWidth="1"/>
    <col min="23" max="23" width="11.7109375" style="1" customWidth="1"/>
    <col min="24" max="24" width="11" style="1" customWidth="1"/>
    <col min="25" max="16384" width="9.140625" style="1"/>
  </cols>
  <sheetData>
    <row r="1" spans="2:15" ht="6" customHeight="1"/>
    <row r="2" spans="2:15">
      <c r="B2" s="452" t="s">
        <v>733</v>
      </c>
      <c r="C2" s="452"/>
      <c r="D2" s="452"/>
      <c r="E2" s="452"/>
    </row>
    <row r="3" spans="2:15" ht="39.75" customHeight="1">
      <c r="B3" s="559" t="s">
        <v>782</v>
      </c>
      <c r="C3" s="559"/>
      <c r="D3" s="559"/>
      <c r="E3" s="559"/>
      <c r="F3" s="275"/>
      <c r="J3" s="2"/>
      <c r="L3" s="2" t="s">
        <v>53</v>
      </c>
    </row>
    <row r="4" spans="2:15">
      <c r="B4" s="452" t="s">
        <v>735</v>
      </c>
      <c r="C4" s="452"/>
      <c r="D4" s="452"/>
      <c r="E4" s="452"/>
    </row>
    <row r="5" spans="2:15">
      <c r="B5" s="85"/>
      <c r="C5" s="85"/>
      <c r="D5" s="85"/>
      <c r="F5" s="276" t="s">
        <v>859</v>
      </c>
      <c r="G5" s="7"/>
      <c r="H5" s="7"/>
      <c r="I5" s="7"/>
      <c r="J5" s="7"/>
      <c r="K5" s="7"/>
    </row>
    <row r="6" spans="2:15">
      <c r="B6" s="85"/>
      <c r="C6" s="85"/>
      <c r="D6" s="85"/>
      <c r="E6" s="7"/>
      <c r="F6" s="276" t="s">
        <v>860</v>
      </c>
      <c r="G6" s="7"/>
      <c r="H6" s="7"/>
      <c r="I6" s="7"/>
      <c r="J6" s="7"/>
    </row>
    <row r="7" spans="2:15">
      <c r="B7" s="85"/>
      <c r="C7" s="85"/>
      <c r="D7" s="85"/>
      <c r="E7" s="7"/>
      <c r="G7" s="7"/>
      <c r="H7" s="7"/>
      <c r="I7" s="7"/>
      <c r="J7" s="7"/>
    </row>
    <row r="8" spans="2:15" ht="13.5" thickBot="1">
      <c r="L8" s="86" t="s">
        <v>819</v>
      </c>
    </row>
    <row r="9" spans="2:15" ht="26.25" thickBot="1">
      <c r="B9" s="463" t="s">
        <v>606</v>
      </c>
      <c r="C9" s="464"/>
      <c r="D9" s="30"/>
      <c r="E9" s="30"/>
      <c r="F9" s="30" t="s">
        <v>60</v>
      </c>
      <c r="G9" s="30" t="s">
        <v>607</v>
      </c>
      <c r="H9" s="140" t="s">
        <v>179</v>
      </c>
      <c r="I9" s="30" t="s">
        <v>608</v>
      </c>
      <c r="J9" s="30" t="s">
        <v>609</v>
      </c>
      <c r="K9" s="30" t="s">
        <v>610</v>
      </c>
      <c r="L9" s="30" t="s">
        <v>611</v>
      </c>
    </row>
    <row r="10" spans="2:15" ht="13.5" thickBot="1">
      <c r="B10" s="30" t="s">
        <v>96</v>
      </c>
      <c r="C10" s="30"/>
      <c r="D10" s="30"/>
      <c r="E10" s="30"/>
      <c r="F10" s="30" t="s">
        <v>3</v>
      </c>
      <c r="G10" s="30" t="s">
        <v>612</v>
      </c>
      <c r="H10" s="30" t="s">
        <v>71</v>
      </c>
      <c r="I10" s="30" t="s">
        <v>65</v>
      </c>
      <c r="J10" s="30" t="s">
        <v>66</v>
      </c>
      <c r="K10" s="30" t="s">
        <v>80</v>
      </c>
      <c r="L10" s="30" t="s">
        <v>67</v>
      </c>
    </row>
    <row r="11" spans="2:15" s="262" customFormat="1" ht="17.25" customHeight="1" thickBot="1">
      <c r="B11" s="260" t="s">
        <v>417</v>
      </c>
      <c r="C11" s="534" t="s">
        <v>437</v>
      </c>
      <c r="D11" s="556"/>
      <c r="E11" s="556"/>
      <c r="F11" s="535"/>
      <c r="G11" s="260" t="s">
        <v>3</v>
      </c>
      <c r="H11" s="261">
        <f>H12+H33+H39</f>
        <v>206719.78100000002</v>
      </c>
      <c r="I11" s="261">
        <f>I12+I33+I39</f>
        <v>97144.09599999999</v>
      </c>
      <c r="J11" s="261">
        <f>J12+J33+J39</f>
        <v>117173.216</v>
      </c>
      <c r="K11" s="261">
        <f>K12+K33+K39</f>
        <v>128110.465</v>
      </c>
      <c r="L11" s="261">
        <f>L12+L33+L39</f>
        <v>206719.78100000002</v>
      </c>
      <c r="N11" s="262">
        <v>127385</v>
      </c>
      <c r="O11" s="262">
        <f>H11-N11</f>
        <v>79334.781000000017</v>
      </c>
    </row>
    <row r="12" spans="2:15" ht="21.75" customHeight="1" thickBot="1">
      <c r="B12" s="546"/>
      <c r="C12" s="30" t="s">
        <v>3</v>
      </c>
      <c r="D12" s="463" t="s">
        <v>256</v>
      </c>
      <c r="E12" s="558"/>
      <c r="F12" s="464"/>
      <c r="G12" s="30" t="s">
        <v>71</v>
      </c>
      <c r="H12" s="254">
        <f>H13+H18+H19+H23+H24+H25</f>
        <v>206319.78100000002</v>
      </c>
      <c r="I12" s="254">
        <f>I13+I18+I19+I23+I24+I25</f>
        <v>97044.09599999999</v>
      </c>
      <c r="J12" s="254">
        <f>J13+J18+J19+J23+J24+J25</f>
        <v>116973.216</v>
      </c>
      <c r="K12" s="254">
        <f>K13+K18+K19+K23+K24+K25</f>
        <v>127810.465</v>
      </c>
      <c r="L12" s="254">
        <f>L13+L18+L19+L23+L24+L25</f>
        <v>206319.78100000002</v>
      </c>
      <c r="N12" s="1">
        <v>126835</v>
      </c>
      <c r="O12" s="47">
        <f>H12-N12</f>
        <v>79484.781000000017</v>
      </c>
    </row>
    <row r="13" spans="2:15" ht="30" customHeight="1" thickBot="1">
      <c r="B13" s="547"/>
      <c r="C13" s="546"/>
      <c r="D13" s="30" t="s">
        <v>93</v>
      </c>
      <c r="E13" s="554" t="s">
        <v>613</v>
      </c>
      <c r="F13" s="555"/>
      <c r="G13" s="30" t="s">
        <v>65</v>
      </c>
      <c r="H13" s="254">
        <f>H14+H15+H16+H17</f>
        <v>164831.18000000002</v>
      </c>
      <c r="I13" s="254">
        <f>I14+I15+I16+I17</f>
        <v>78556.009999999995</v>
      </c>
      <c r="J13" s="254">
        <f>J14+J15+J16+J17</f>
        <v>93401.952000000005</v>
      </c>
      <c r="K13" s="254">
        <f>K14+K15+K16+K17</f>
        <v>100767.717</v>
      </c>
      <c r="L13" s="254">
        <f>L14+L15+L16+L17</f>
        <v>164831.18000000002</v>
      </c>
    </row>
    <row r="14" spans="2:15" ht="13.5" thickBot="1">
      <c r="B14" s="547"/>
      <c r="C14" s="547"/>
      <c r="D14" s="30"/>
      <c r="E14" s="30" t="s">
        <v>454</v>
      </c>
      <c r="F14" s="53" t="s">
        <v>614</v>
      </c>
      <c r="G14" s="30" t="s">
        <v>66</v>
      </c>
      <c r="H14" s="254">
        <v>160297.98000000001</v>
      </c>
      <c r="I14" s="254">
        <v>78508.009999999995</v>
      </c>
      <c r="J14" s="254">
        <v>92713.952000000005</v>
      </c>
      <c r="K14" s="254">
        <v>97100.717000000004</v>
      </c>
      <c r="L14" s="254">
        <v>160297.98000000001</v>
      </c>
    </row>
    <row r="15" spans="2:15" ht="13.5" thickBot="1">
      <c r="B15" s="547"/>
      <c r="C15" s="547"/>
      <c r="D15" s="30"/>
      <c r="E15" s="30" t="s">
        <v>191</v>
      </c>
      <c r="F15" s="53" t="s">
        <v>615</v>
      </c>
      <c r="G15" s="30" t="s">
        <v>80</v>
      </c>
      <c r="H15" s="254">
        <v>1208.2</v>
      </c>
      <c r="I15" s="255">
        <v>29</v>
      </c>
      <c r="J15" s="255">
        <v>559</v>
      </c>
      <c r="K15" s="255">
        <v>858</v>
      </c>
      <c r="L15" s="255">
        <v>1208.2</v>
      </c>
    </row>
    <row r="16" spans="2:15" ht="13.5" thickBot="1">
      <c r="B16" s="547"/>
      <c r="C16" s="547"/>
      <c r="D16" s="30"/>
      <c r="E16" s="30" t="s">
        <v>616</v>
      </c>
      <c r="F16" s="53" t="s">
        <v>617</v>
      </c>
      <c r="G16" s="30" t="s">
        <v>67</v>
      </c>
      <c r="H16" s="254">
        <v>75</v>
      </c>
      <c r="I16" s="255">
        <v>19</v>
      </c>
      <c r="J16" s="255">
        <v>29</v>
      </c>
      <c r="K16" s="255">
        <v>59</v>
      </c>
      <c r="L16" s="255">
        <v>75</v>
      </c>
    </row>
    <row r="17" spans="2:12" ht="13.5" thickBot="1">
      <c r="B17" s="547"/>
      <c r="C17" s="547"/>
      <c r="D17" s="30"/>
      <c r="E17" s="30" t="s">
        <v>618</v>
      </c>
      <c r="F17" s="53" t="s">
        <v>619</v>
      </c>
      <c r="G17" s="30" t="s">
        <v>4</v>
      </c>
      <c r="H17" s="254">
        <v>3250</v>
      </c>
      <c r="I17" s="255">
        <v>0</v>
      </c>
      <c r="J17" s="255">
        <v>100</v>
      </c>
      <c r="K17" s="255">
        <v>2750</v>
      </c>
      <c r="L17" s="255">
        <v>3250</v>
      </c>
    </row>
    <row r="18" spans="2:12" ht="13.5" thickBot="1">
      <c r="B18" s="547"/>
      <c r="C18" s="547"/>
      <c r="D18" s="30" t="s">
        <v>149</v>
      </c>
      <c r="E18" s="552" t="s">
        <v>620</v>
      </c>
      <c r="F18" s="553"/>
      <c r="G18" s="30" t="s">
        <v>68</v>
      </c>
      <c r="H18" s="254">
        <v>0</v>
      </c>
      <c r="I18" s="254">
        <v>0</v>
      </c>
      <c r="J18" s="254">
        <v>0</v>
      </c>
      <c r="K18" s="254">
        <v>0</v>
      </c>
      <c r="L18" s="254">
        <v>0</v>
      </c>
    </row>
    <row r="19" spans="2:12" ht="46.5" customHeight="1" thickBot="1">
      <c r="B19" s="547"/>
      <c r="C19" s="547"/>
      <c r="D19" s="30" t="s">
        <v>152</v>
      </c>
      <c r="E19" s="554" t="s">
        <v>621</v>
      </c>
      <c r="F19" s="555"/>
      <c r="G19" s="30" t="s">
        <v>92</v>
      </c>
      <c r="H19" s="254">
        <v>35556.601000000002</v>
      </c>
      <c r="I19" s="254">
        <f>I20+I21+I22</f>
        <v>18269.085999999999</v>
      </c>
      <c r="J19" s="254">
        <f>J20+J21+J22</f>
        <v>21561.254000000001</v>
      </c>
      <c r="K19" s="254">
        <f>K20+K21+K22</f>
        <v>22637.738000000001</v>
      </c>
      <c r="L19" s="254">
        <f>L20+L21+L22</f>
        <v>35556.601000000002</v>
      </c>
    </row>
    <row r="20" spans="2:12" ht="13.5" thickBot="1">
      <c r="B20" s="547"/>
      <c r="C20" s="547"/>
      <c r="D20" s="546"/>
      <c r="E20" s="30" t="s">
        <v>622</v>
      </c>
      <c r="F20" s="53" t="s">
        <v>623</v>
      </c>
      <c r="G20" s="30" t="s">
        <v>98</v>
      </c>
      <c r="H20" s="254">
        <v>35556.601000000002</v>
      </c>
      <c r="I20" s="254">
        <v>18269.085999999999</v>
      </c>
      <c r="J20" s="254">
        <v>21561.254000000001</v>
      </c>
      <c r="K20" s="254">
        <v>22637.738000000001</v>
      </c>
      <c r="L20" s="254">
        <v>35556.601000000002</v>
      </c>
    </row>
    <row r="21" spans="2:12" ht="13.5" thickBot="1">
      <c r="B21" s="547"/>
      <c r="C21" s="547"/>
      <c r="D21" s="557"/>
      <c r="E21" s="30" t="s">
        <v>197</v>
      </c>
      <c r="F21" s="53" t="s">
        <v>99</v>
      </c>
      <c r="G21" s="30" t="s">
        <v>100</v>
      </c>
      <c r="H21" s="254">
        <v>0</v>
      </c>
      <c r="I21" s="254">
        <v>0</v>
      </c>
      <c r="J21" s="254">
        <v>0</v>
      </c>
      <c r="K21" s="254">
        <v>0</v>
      </c>
      <c r="L21" s="254">
        <v>0</v>
      </c>
    </row>
    <row r="22" spans="2:12" ht="13.5" thickBot="1">
      <c r="B22" s="547"/>
      <c r="C22" s="547"/>
      <c r="D22" s="30"/>
      <c r="E22" s="30" t="s">
        <v>624</v>
      </c>
      <c r="F22" s="53" t="s">
        <v>101</v>
      </c>
      <c r="G22" s="30" t="s">
        <v>102</v>
      </c>
      <c r="H22" s="254">
        <v>0</v>
      </c>
      <c r="I22" s="254">
        <v>0</v>
      </c>
      <c r="J22" s="254">
        <v>0</v>
      </c>
      <c r="K22" s="254">
        <v>0</v>
      </c>
      <c r="L22" s="254">
        <v>0</v>
      </c>
    </row>
    <row r="23" spans="2:12" ht="13.5" thickBot="1">
      <c r="B23" s="547"/>
      <c r="C23" s="547"/>
      <c r="D23" s="30" t="s">
        <v>155</v>
      </c>
      <c r="E23" s="552" t="s">
        <v>625</v>
      </c>
      <c r="F23" s="553"/>
      <c r="G23" s="30" t="s">
        <v>103</v>
      </c>
      <c r="H23" s="254">
        <v>4000</v>
      </c>
      <c r="I23" s="255">
        <v>0</v>
      </c>
      <c r="J23" s="255">
        <v>1000</v>
      </c>
      <c r="K23" s="255">
        <v>3000</v>
      </c>
      <c r="L23" s="255">
        <v>4000</v>
      </c>
    </row>
    <row r="24" spans="2:12" ht="30" customHeight="1" thickBot="1">
      <c r="B24" s="547"/>
      <c r="C24" s="557"/>
      <c r="D24" s="30" t="s">
        <v>94</v>
      </c>
      <c r="E24" s="554" t="s">
        <v>626</v>
      </c>
      <c r="F24" s="555"/>
      <c r="G24" s="30" t="s">
        <v>104</v>
      </c>
      <c r="H24" s="254">
        <v>150</v>
      </c>
      <c r="I24" s="256">
        <v>50</v>
      </c>
      <c r="J24" s="256">
        <v>75</v>
      </c>
      <c r="K24" s="256">
        <v>100</v>
      </c>
      <c r="L24" s="256">
        <v>150</v>
      </c>
    </row>
    <row r="25" spans="2:12" ht="13.5" thickBot="1">
      <c r="B25" s="547"/>
      <c r="C25" s="30"/>
      <c r="D25" s="30" t="s">
        <v>105</v>
      </c>
      <c r="E25" s="554" t="s">
        <v>627</v>
      </c>
      <c r="F25" s="555"/>
      <c r="G25" s="30" t="s">
        <v>106</v>
      </c>
      <c r="H25" s="254">
        <v>1782</v>
      </c>
      <c r="I25" s="255">
        <f>I26+I27+I30+I31+I32</f>
        <v>169</v>
      </c>
      <c r="J25" s="255">
        <f>J26+J27+J30+J31+J32</f>
        <v>935.01</v>
      </c>
      <c r="K25" s="255">
        <f>K26+K27+K30+K31+K32</f>
        <v>1305.01</v>
      </c>
      <c r="L25" s="255">
        <f>L26+L27+L30+L31+L32</f>
        <v>1782</v>
      </c>
    </row>
    <row r="26" spans="2:12" ht="13.5" thickBot="1">
      <c r="B26" s="547"/>
      <c r="C26" s="30"/>
      <c r="D26" s="30"/>
      <c r="E26" s="30" t="s">
        <v>628</v>
      </c>
      <c r="F26" s="53" t="s">
        <v>629</v>
      </c>
      <c r="G26" s="30" t="s">
        <v>107</v>
      </c>
      <c r="H26" s="254">
        <v>1500</v>
      </c>
      <c r="I26" s="255">
        <v>100</v>
      </c>
      <c r="J26" s="255">
        <v>800</v>
      </c>
      <c r="K26" s="255">
        <v>1100</v>
      </c>
      <c r="L26" s="255">
        <v>1500</v>
      </c>
    </row>
    <row r="27" spans="2:12" ht="26.25" thickBot="1">
      <c r="B27" s="547"/>
      <c r="C27" s="30"/>
      <c r="D27" s="30"/>
      <c r="E27" s="30" t="s">
        <v>175</v>
      </c>
      <c r="F27" s="54" t="s">
        <v>630</v>
      </c>
      <c r="G27" s="30" t="s">
        <v>108</v>
      </c>
      <c r="H27" s="254">
        <v>10</v>
      </c>
      <c r="I27" s="256">
        <f>(SUM(I28:I29))/1000</f>
        <v>0</v>
      </c>
      <c r="J27" s="256">
        <f>(SUM(J28:J29))/1000</f>
        <v>0.01</v>
      </c>
      <c r="K27" s="256">
        <f>(SUM(K28:K29))/1000</f>
        <v>0.01</v>
      </c>
      <c r="L27" s="256">
        <v>10</v>
      </c>
    </row>
    <row r="28" spans="2:12" ht="13.5" thickBot="1">
      <c r="B28" s="547"/>
      <c r="C28" s="30"/>
      <c r="D28" s="30"/>
      <c r="E28" s="30"/>
      <c r="F28" s="53" t="s">
        <v>631</v>
      </c>
      <c r="G28" s="30" t="s">
        <v>109</v>
      </c>
      <c r="H28" s="254">
        <v>10</v>
      </c>
      <c r="I28" s="255">
        <v>0</v>
      </c>
      <c r="J28" s="255">
        <v>10</v>
      </c>
      <c r="K28" s="255">
        <v>10</v>
      </c>
      <c r="L28" s="255">
        <v>10</v>
      </c>
    </row>
    <row r="29" spans="2:12" ht="13.5" thickBot="1">
      <c r="B29" s="547"/>
      <c r="C29" s="30"/>
      <c r="D29" s="30"/>
      <c r="E29" s="30"/>
      <c r="F29" s="53" t="s">
        <v>632</v>
      </c>
      <c r="G29" s="30" t="s">
        <v>110</v>
      </c>
      <c r="H29" s="254">
        <v>0</v>
      </c>
      <c r="I29" s="255">
        <v>0</v>
      </c>
      <c r="J29" s="255">
        <v>0</v>
      </c>
      <c r="K29" s="255">
        <v>0</v>
      </c>
      <c r="L29" s="255">
        <v>0</v>
      </c>
    </row>
    <row r="30" spans="2:12" s="144" customFormat="1" ht="13.5" thickBot="1">
      <c r="B30" s="547"/>
      <c r="C30" s="73"/>
      <c r="D30" s="73"/>
      <c r="E30" s="73" t="s">
        <v>176</v>
      </c>
      <c r="F30" s="105" t="s">
        <v>633</v>
      </c>
      <c r="G30" s="73" t="s">
        <v>111</v>
      </c>
      <c r="H30" s="254">
        <v>272</v>
      </c>
      <c r="I30" s="257">
        <v>69</v>
      </c>
      <c r="J30" s="257">
        <v>135</v>
      </c>
      <c r="K30" s="257">
        <v>205</v>
      </c>
      <c r="L30" s="257">
        <v>272</v>
      </c>
    </row>
    <row r="31" spans="2:12" s="144" customFormat="1" ht="13.5" thickBot="1">
      <c r="B31" s="547"/>
      <c r="C31" s="73"/>
      <c r="D31" s="73"/>
      <c r="E31" s="73" t="s">
        <v>177</v>
      </c>
      <c r="F31" s="105" t="s">
        <v>634</v>
      </c>
      <c r="G31" s="73" t="s">
        <v>112</v>
      </c>
      <c r="H31" s="254"/>
      <c r="I31" s="257"/>
      <c r="J31" s="257"/>
      <c r="K31" s="257"/>
      <c r="L31" s="257"/>
    </row>
    <row r="32" spans="2:12" s="144" customFormat="1" ht="13.5" thickBot="1">
      <c r="B32" s="547"/>
      <c r="C32" s="73"/>
      <c r="D32" s="73"/>
      <c r="E32" s="73" t="s">
        <v>178</v>
      </c>
      <c r="F32" s="105" t="s">
        <v>619</v>
      </c>
      <c r="G32" s="73" t="s">
        <v>113</v>
      </c>
      <c r="H32" s="254"/>
      <c r="I32" s="257"/>
      <c r="J32" s="257"/>
      <c r="K32" s="257"/>
      <c r="L32" s="257"/>
    </row>
    <row r="33" spans="2:19" ht="13.5" thickBot="1">
      <c r="B33" s="547"/>
      <c r="C33" s="30" t="s">
        <v>71</v>
      </c>
      <c r="D33" s="30"/>
      <c r="E33" s="554" t="s">
        <v>635</v>
      </c>
      <c r="F33" s="555"/>
      <c r="G33" s="30" t="s">
        <v>114</v>
      </c>
      <c r="H33" s="254">
        <v>400</v>
      </c>
      <c r="I33" s="255">
        <f>I34+I35+I36+I37+I38</f>
        <v>100</v>
      </c>
      <c r="J33" s="255">
        <f>J34+J35+J36+J37+J38</f>
        <v>200</v>
      </c>
      <c r="K33" s="255">
        <f>K34+K35+K36+K37+K38</f>
        <v>300</v>
      </c>
      <c r="L33" s="255">
        <f>L34+L35+L36+L37+L38</f>
        <v>400</v>
      </c>
      <c r="N33" s="1">
        <v>550</v>
      </c>
    </row>
    <row r="34" spans="2:19" ht="13.5" thickBot="1">
      <c r="B34" s="547"/>
      <c r="C34" s="546"/>
      <c r="D34" s="30" t="s">
        <v>93</v>
      </c>
      <c r="E34" s="552" t="s">
        <v>636</v>
      </c>
      <c r="F34" s="553"/>
      <c r="G34" s="30" t="s">
        <v>115</v>
      </c>
      <c r="H34" s="254"/>
      <c r="I34" s="255"/>
      <c r="J34" s="255"/>
      <c r="K34" s="255"/>
      <c r="L34" s="255"/>
    </row>
    <row r="35" spans="2:19" ht="13.5" thickBot="1">
      <c r="B35" s="547"/>
      <c r="C35" s="547"/>
      <c r="D35" s="30" t="s">
        <v>149</v>
      </c>
      <c r="E35" s="552" t="s">
        <v>637</v>
      </c>
      <c r="F35" s="553"/>
      <c r="G35" s="30" t="s">
        <v>116</v>
      </c>
      <c r="H35" s="254"/>
      <c r="I35" s="255"/>
      <c r="J35" s="255"/>
      <c r="K35" s="255"/>
      <c r="L35" s="255"/>
    </row>
    <row r="36" spans="2:19" ht="13.5" thickBot="1">
      <c r="B36" s="547"/>
      <c r="C36" s="547"/>
      <c r="D36" s="30" t="s">
        <v>152</v>
      </c>
      <c r="E36" s="552" t="s">
        <v>638</v>
      </c>
      <c r="F36" s="553"/>
      <c r="G36" s="30" t="s">
        <v>117</v>
      </c>
      <c r="H36" s="254"/>
      <c r="I36" s="255"/>
      <c r="J36" s="255"/>
      <c r="K36" s="255"/>
      <c r="L36" s="255"/>
    </row>
    <row r="37" spans="2:19" ht="13.5" thickBot="1">
      <c r="B37" s="547"/>
      <c r="C37" s="547"/>
      <c r="D37" s="30" t="s">
        <v>155</v>
      </c>
      <c r="E37" s="552" t="s">
        <v>639</v>
      </c>
      <c r="F37" s="553"/>
      <c r="G37" s="30" t="s">
        <v>118</v>
      </c>
      <c r="H37" s="254"/>
      <c r="I37" s="255"/>
      <c r="J37" s="255"/>
      <c r="K37" s="255"/>
      <c r="L37" s="255"/>
    </row>
    <row r="38" spans="2:19" ht="13.5" thickBot="1">
      <c r="B38" s="547"/>
      <c r="C38" s="557"/>
      <c r="D38" s="30" t="s">
        <v>94</v>
      </c>
      <c r="E38" s="552" t="s">
        <v>640</v>
      </c>
      <c r="F38" s="553"/>
      <c r="G38" s="30" t="s">
        <v>119</v>
      </c>
      <c r="H38" s="254">
        <v>400</v>
      </c>
      <c r="I38" s="255">
        <v>100</v>
      </c>
      <c r="J38" s="255">
        <v>200</v>
      </c>
      <c r="K38" s="255">
        <v>300</v>
      </c>
      <c r="L38" s="255">
        <v>400</v>
      </c>
    </row>
    <row r="39" spans="2:19" ht="13.5" thickBot="1">
      <c r="B39" s="557"/>
      <c r="C39" s="30" t="s">
        <v>65</v>
      </c>
      <c r="D39" s="30"/>
      <c r="E39" s="552" t="s">
        <v>258</v>
      </c>
      <c r="F39" s="553"/>
      <c r="G39" s="30" t="s">
        <v>120</v>
      </c>
      <c r="H39" s="254"/>
      <c r="I39" s="255"/>
      <c r="J39" s="255"/>
      <c r="K39" s="255"/>
      <c r="L39" s="255"/>
    </row>
    <row r="40" spans="2:19" s="262" customFormat="1" ht="13.5" thickBot="1">
      <c r="B40" s="260" t="s">
        <v>77</v>
      </c>
      <c r="C40" s="534" t="s">
        <v>212</v>
      </c>
      <c r="D40" s="556"/>
      <c r="E40" s="556"/>
      <c r="F40" s="535"/>
      <c r="G40" s="260" t="s">
        <v>121</v>
      </c>
      <c r="H40" s="261">
        <f>H41+H141+H149</f>
        <v>206670.71400000001</v>
      </c>
      <c r="I40" s="261">
        <f>I41+I141+I149</f>
        <v>85745.00499999999</v>
      </c>
      <c r="J40" s="261">
        <f>J41+J141+J149</f>
        <v>124259.29199999999</v>
      </c>
      <c r="K40" s="261">
        <f>K41+K141+K149</f>
        <v>151764.117</v>
      </c>
      <c r="L40" s="261">
        <f>L41+L141+L149</f>
        <v>206670.71400000001</v>
      </c>
      <c r="N40" s="262">
        <v>118695</v>
      </c>
      <c r="O40" s="262">
        <f>H40-N40</f>
        <v>87975.714000000007</v>
      </c>
      <c r="S40" s="448"/>
    </row>
    <row r="41" spans="2:19" s="144" customFormat="1" ht="13.5" thickBot="1">
      <c r="B41" s="542"/>
      <c r="C41" s="73" t="s">
        <v>3</v>
      </c>
      <c r="D41" s="538" t="s">
        <v>641</v>
      </c>
      <c r="E41" s="551"/>
      <c r="F41" s="539"/>
      <c r="G41" s="260" t="s">
        <v>484</v>
      </c>
      <c r="H41" s="261">
        <f>H42+H90+H97+H126</f>
        <v>200779.829</v>
      </c>
      <c r="I41" s="261">
        <f>I42+I90+I97+I126</f>
        <v>84276.29</v>
      </c>
      <c r="J41" s="261">
        <f>J42+J90+J97+J126</f>
        <v>121393.29199999999</v>
      </c>
      <c r="K41" s="261">
        <f>K42+K90+K97+K126</f>
        <v>147450.66699999999</v>
      </c>
      <c r="L41" s="261">
        <f>L42+L90+L97+L126</f>
        <v>200779.829</v>
      </c>
      <c r="N41" s="144">
        <v>116261</v>
      </c>
      <c r="O41" s="144">
        <f>H41-N41</f>
        <v>84518.828999999998</v>
      </c>
      <c r="S41" s="448"/>
    </row>
    <row r="42" spans="2:19" s="144" customFormat="1" ht="31.5" customHeight="1" thickBot="1">
      <c r="B42" s="543"/>
      <c r="C42" s="542"/>
      <c r="D42" s="538" t="s">
        <v>642</v>
      </c>
      <c r="E42" s="551"/>
      <c r="F42" s="539"/>
      <c r="G42" s="260" t="s">
        <v>486</v>
      </c>
      <c r="H42" s="263">
        <f>H43+H51+H57</f>
        <v>125822.872</v>
      </c>
      <c r="I42" s="261">
        <f>I43+I51+I57</f>
        <v>58814.579999999994</v>
      </c>
      <c r="J42" s="261">
        <f>J43+J51+J57</f>
        <v>76343.608999999997</v>
      </c>
      <c r="K42" s="261">
        <f>K43+K51+K57</f>
        <v>87670.206000000006</v>
      </c>
      <c r="L42" s="261">
        <f>L43+L51+L57</f>
        <v>125822.872</v>
      </c>
      <c r="S42" s="448"/>
    </row>
    <row r="43" spans="2:19" s="144" customFormat="1" ht="13.5" thickBot="1">
      <c r="B43" s="543"/>
      <c r="C43" s="543"/>
      <c r="D43" s="260" t="s">
        <v>487</v>
      </c>
      <c r="E43" s="532" t="s">
        <v>643</v>
      </c>
      <c r="F43" s="533"/>
      <c r="G43" s="73" t="s">
        <v>489</v>
      </c>
      <c r="H43" s="261">
        <f>H44+H45+H48+H49+H50</f>
        <v>118342.872</v>
      </c>
      <c r="I43" s="263">
        <f>I44+I45+I48+I49+I50</f>
        <v>57239.89</v>
      </c>
      <c r="J43" s="263">
        <f>J44+J45+J48+J49+J50</f>
        <v>72581.129000000001</v>
      </c>
      <c r="K43" s="263">
        <f>K44+K45+K48+K49+K50</f>
        <v>81780.456000000006</v>
      </c>
      <c r="L43" s="263">
        <f>L44+L45+L48+L49+L50</f>
        <v>118342.872</v>
      </c>
      <c r="N43" s="264">
        <f>N11-N40</f>
        <v>8690</v>
      </c>
      <c r="S43" s="448"/>
    </row>
    <row r="44" spans="2:19" ht="13.5" thickBot="1">
      <c r="B44" s="543"/>
      <c r="C44" s="543"/>
      <c r="D44" s="73" t="s">
        <v>93</v>
      </c>
      <c r="E44" s="540" t="s">
        <v>429</v>
      </c>
      <c r="F44" s="541"/>
      <c r="G44" s="73" t="s">
        <v>491</v>
      </c>
      <c r="H44" s="263">
        <v>40742.803</v>
      </c>
      <c r="I44" s="263">
        <v>18350.643</v>
      </c>
      <c r="J44" s="263">
        <v>21969.538</v>
      </c>
      <c r="K44" s="263">
        <v>21969.538</v>
      </c>
      <c r="L44" s="263">
        <v>40742.803</v>
      </c>
      <c r="M44" s="144"/>
      <c r="N44" s="144"/>
      <c r="O44" s="144"/>
      <c r="P44" s="144"/>
      <c r="Q44" s="144"/>
      <c r="R44" s="144"/>
      <c r="S44" s="448"/>
    </row>
    <row r="45" spans="2:19" ht="13.5" thickBot="1">
      <c r="B45" s="543"/>
      <c r="C45" s="543"/>
      <c r="D45" s="73" t="s">
        <v>149</v>
      </c>
      <c r="E45" s="540" t="s">
        <v>492</v>
      </c>
      <c r="F45" s="541"/>
      <c r="G45" s="73" t="s">
        <v>493</v>
      </c>
      <c r="H45" s="263">
        <v>63704.946000000004</v>
      </c>
      <c r="I45" s="263">
        <v>34400.89</v>
      </c>
      <c r="J45" s="263">
        <v>43248.567000000003</v>
      </c>
      <c r="K45" s="263">
        <v>49856.95</v>
      </c>
      <c r="L45" s="263">
        <v>63704.946000000004</v>
      </c>
      <c r="M45" s="144"/>
      <c r="N45" s="144"/>
      <c r="O45" s="144"/>
      <c r="P45" s="144"/>
      <c r="Q45" s="144"/>
      <c r="R45" s="144"/>
      <c r="S45" s="448"/>
    </row>
    <row r="46" spans="2:19" ht="13.5" thickBot="1">
      <c r="B46" s="543"/>
      <c r="C46" s="543"/>
      <c r="D46" s="73"/>
      <c r="E46" s="105" t="s">
        <v>215</v>
      </c>
      <c r="F46" s="105" t="s">
        <v>494</v>
      </c>
      <c r="G46" s="73" t="s">
        <v>495</v>
      </c>
      <c r="H46" s="263">
        <v>800</v>
      </c>
      <c r="I46" s="263">
        <v>100</v>
      </c>
      <c r="J46" s="263">
        <v>300</v>
      </c>
      <c r="K46" s="263">
        <v>700</v>
      </c>
      <c r="L46" s="263">
        <v>800</v>
      </c>
      <c r="M46" s="144"/>
      <c r="N46" s="144"/>
      <c r="O46" s="144"/>
      <c r="P46" s="144"/>
      <c r="Q46" s="144"/>
      <c r="R46" s="144"/>
      <c r="S46" s="448"/>
    </row>
    <row r="47" spans="2:19" ht="13.5" thickBot="1">
      <c r="B47" s="543"/>
      <c r="C47" s="543"/>
      <c r="D47" s="73"/>
      <c r="E47" s="105" t="s">
        <v>239</v>
      </c>
      <c r="F47" s="105" t="s">
        <v>496</v>
      </c>
      <c r="G47" s="73" t="s">
        <v>497</v>
      </c>
      <c r="H47" s="263">
        <f>(59504946+1200000)/1000</f>
        <v>60704.946000000004</v>
      </c>
      <c r="I47" s="263">
        <v>32780.879999999997</v>
      </c>
      <c r="J47" s="263">
        <v>41211.900999999998</v>
      </c>
      <c r="K47" s="263">
        <v>47509.080999999998</v>
      </c>
      <c r="L47" s="263">
        <v>60704.946000000004</v>
      </c>
      <c r="M47" s="144"/>
      <c r="N47" s="144"/>
      <c r="O47" s="144"/>
      <c r="P47" s="144"/>
      <c r="Q47" s="144"/>
      <c r="R47" s="144"/>
      <c r="S47" s="448"/>
    </row>
    <row r="48" spans="2:19" ht="13.5" thickBot="1">
      <c r="B48" s="543"/>
      <c r="C48" s="543"/>
      <c r="D48" s="73" t="s">
        <v>152</v>
      </c>
      <c r="E48" s="536" t="s">
        <v>644</v>
      </c>
      <c r="F48" s="537"/>
      <c r="G48" s="73" t="s">
        <v>499</v>
      </c>
      <c r="H48" s="263">
        <v>350.25</v>
      </c>
      <c r="I48" s="263">
        <v>88</v>
      </c>
      <c r="J48" s="263">
        <v>175</v>
      </c>
      <c r="K48" s="263">
        <v>262.25</v>
      </c>
      <c r="L48" s="263">
        <v>350.25</v>
      </c>
      <c r="M48" s="144"/>
      <c r="N48" s="144"/>
      <c r="O48" s="144"/>
      <c r="P48" s="144"/>
      <c r="Q48" s="144"/>
      <c r="R48" s="144"/>
      <c r="S48" s="448"/>
    </row>
    <row r="49" spans="2:19" ht="13.5" thickBot="1">
      <c r="B49" s="543"/>
      <c r="C49" s="543"/>
      <c r="D49" s="73" t="s">
        <v>155</v>
      </c>
      <c r="E49" s="540" t="s">
        <v>500</v>
      </c>
      <c r="F49" s="541"/>
      <c r="G49" s="73" t="s">
        <v>501</v>
      </c>
      <c r="H49" s="263">
        <v>13544.873</v>
      </c>
      <c r="I49" s="263">
        <v>4400.357</v>
      </c>
      <c r="J49" s="263">
        <v>7188.0240000000003</v>
      </c>
      <c r="K49" s="263">
        <v>9691.7180000000008</v>
      </c>
      <c r="L49" s="263">
        <v>13544.873</v>
      </c>
      <c r="M49" s="144"/>
      <c r="N49" s="144"/>
      <c r="O49" s="144"/>
      <c r="P49" s="144"/>
      <c r="Q49" s="144"/>
      <c r="R49" s="144"/>
      <c r="S49" s="448"/>
    </row>
    <row r="50" spans="2:19" ht="14.25" customHeight="1" thickBot="1">
      <c r="B50" s="543"/>
      <c r="C50" s="543"/>
      <c r="D50" s="73" t="s">
        <v>94</v>
      </c>
      <c r="E50" s="540" t="s">
        <v>502</v>
      </c>
      <c r="F50" s="541"/>
      <c r="G50" s="73" t="s">
        <v>503</v>
      </c>
      <c r="H50" s="263">
        <v>0</v>
      </c>
      <c r="I50" s="263">
        <v>0</v>
      </c>
      <c r="J50" s="263">
        <v>0</v>
      </c>
      <c r="K50" s="263">
        <v>0</v>
      </c>
      <c r="L50" s="263">
        <v>0</v>
      </c>
      <c r="M50" s="144"/>
      <c r="N50" s="144"/>
      <c r="O50" s="144"/>
      <c r="P50" s="144"/>
      <c r="Q50" s="144"/>
      <c r="R50" s="144"/>
      <c r="S50" s="448"/>
    </row>
    <row r="51" spans="2:19" ht="13.5" thickBot="1">
      <c r="B51" s="543"/>
      <c r="C51" s="543"/>
      <c r="D51" s="260" t="s">
        <v>504</v>
      </c>
      <c r="E51" s="525" t="s">
        <v>505</v>
      </c>
      <c r="F51" s="526"/>
      <c r="G51" s="73" t="s">
        <v>506</v>
      </c>
      <c r="H51" s="261">
        <f>H52+H53+H56</f>
        <v>2950</v>
      </c>
      <c r="I51" s="263">
        <f>SUM(I52:I53)+I56</f>
        <v>625.09</v>
      </c>
      <c r="J51" s="263">
        <f>SUM(J52:J53)+J56</f>
        <v>1550.18</v>
      </c>
      <c r="K51" s="263">
        <f>SUM(K52:K53)+K56</f>
        <v>2450</v>
      </c>
      <c r="L51" s="263">
        <f>SUM(L52:L53)+L56</f>
        <v>2950</v>
      </c>
      <c r="M51" s="144"/>
      <c r="N51" s="144"/>
      <c r="O51" s="144"/>
      <c r="P51" s="144"/>
      <c r="Q51" s="144"/>
      <c r="R51" s="144"/>
      <c r="S51" s="448"/>
    </row>
    <row r="52" spans="2:19" ht="13.5" thickBot="1">
      <c r="B52" s="543"/>
      <c r="C52" s="543"/>
      <c r="D52" s="73" t="s">
        <v>93</v>
      </c>
      <c r="E52" s="540" t="s">
        <v>507</v>
      </c>
      <c r="F52" s="541"/>
      <c r="G52" s="73" t="s">
        <v>508</v>
      </c>
      <c r="H52" s="263">
        <v>2500</v>
      </c>
      <c r="I52" s="263">
        <v>600</v>
      </c>
      <c r="J52" s="263">
        <v>1500</v>
      </c>
      <c r="K52" s="263">
        <v>2100</v>
      </c>
      <c r="L52" s="263">
        <v>2500</v>
      </c>
      <c r="M52" s="144"/>
      <c r="N52" s="144"/>
      <c r="O52" s="144"/>
      <c r="P52" s="144"/>
      <c r="Q52" s="144"/>
      <c r="R52" s="144"/>
      <c r="S52" s="448"/>
    </row>
    <row r="53" spans="2:19" ht="13.5" thickBot="1">
      <c r="B53" s="543"/>
      <c r="C53" s="543"/>
      <c r="D53" s="73" t="s">
        <v>149</v>
      </c>
      <c r="E53" s="540" t="s">
        <v>509</v>
      </c>
      <c r="F53" s="541"/>
      <c r="G53" s="73" t="s">
        <v>510</v>
      </c>
      <c r="H53" s="263">
        <v>350</v>
      </c>
      <c r="I53" s="263">
        <f>(I54+I55)/1000</f>
        <v>0.09</v>
      </c>
      <c r="J53" s="263">
        <f>(J54+J55)/1000</f>
        <v>0.18</v>
      </c>
      <c r="K53" s="263">
        <f>(K54+K55)</f>
        <v>275</v>
      </c>
      <c r="L53" s="263">
        <v>350</v>
      </c>
      <c r="M53" s="144"/>
      <c r="N53" s="144"/>
      <c r="O53" s="144"/>
      <c r="P53" s="144"/>
      <c r="Q53" s="144"/>
      <c r="R53" s="144"/>
      <c r="S53" s="448"/>
    </row>
    <row r="54" spans="2:19" ht="13.5" thickBot="1">
      <c r="B54" s="546"/>
      <c r="C54" s="542"/>
      <c r="D54" s="73"/>
      <c r="E54" s="73" t="s">
        <v>215</v>
      </c>
      <c r="F54" s="106" t="s">
        <v>305</v>
      </c>
      <c r="G54" s="73" t="s">
        <v>340</v>
      </c>
      <c r="H54" s="263">
        <v>250</v>
      </c>
      <c r="I54" s="263">
        <v>70</v>
      </c>
      <c r="J54" s="263">
        <v>140</v>
      </c>
      <c r="K54" s="263">
        <v>200</v>
      </c>
      <c r="L54" s="263">
        <v>250</v>
      </c>
      <c r="M54" s="144"/>
      <c r="N54" s="144"/>
      <c r="O54" s="144"/>
      <c r="P54" s="144"/>
      <c r="Q54" s="144"/>
      <c r="R54" s="144"/>
      <c r="S54" s="448"/>
    </row>
    <row r="55" spans="2:19" ht="13.5" thickBot="1">
      <c r="B55" s="547"/>
      <c r="C55" s="543"/>
      <c r="D55" s="73"/>
      <c r="E55" s="73" t="s">
        <v>239</v>
      </c>
      <c r="F55" s="105" t="s">
        <v>306</v>
      </c>
      <c r="G55" s="73" t="s">
        <v>341</v>
      </c>
      <c r="H55" s="263">
        <v>100</v>
      </c>
      <c r="I55" s="263">
        <v>20</v>
      </c>
      <c r="J55" s="263">
        <v>40</v>
      </c>
      <c r="K55" s="263">
        <v>75</v>
      </c>
      <c r="L55" s="263">
        <v>100</v>
      </c>
      <c r="M55" s="144"/>
      <c r="N55" s="144"/>
      <c r="O55" s="144"/>
      <c r="P55" s="144"/>
      <c r="Q55" s="144"/>
      <c r="R55" s="144"/>
      <c r="S55" s="448"/>
    </row>
    <row r="56" spans="2:19" ht="13.5" thickBot="1">
      <c r="B56" s="547"/>
      <c r="C56" s="543"/>
      <c r="D56" s="73" t="s">
        <v>152</v>
      </c>
      <c r="E56" s="540" t="s">
        <v>307</v>
      </c>
      <c r="F56" s="541"/>
      <c r="G56" s="73" t="s">
        <v>342</v>
      </c>
      <c r="H56" s="263">
        <v>100</v>
      </c>
      <c r="I56" s="263">
        <v>25</v>
      </c>
      <c r="J56" s="263">
        <v>50</v>
      </c>
      <c r="K56" s="263">
        <v>75</v>
      </c>
      <c r="L56" s="263">
        <v>100</v>
      </c>
      <c r="M56" s="144"/>
      <c r="N56" s="144"/>
      <c r="O56" s="144"/>
      <c r="P56" s="144"/>
      <c r="Q56" s="144"/>
      <c r="R56" s="144"/>
      <c r="S56" s="448"/>
    </row>
    <row r="57" spans="2:19" ht="13.5" thickBot="1">
      <c r="B57" s="547"/>
      <c r="C57" s="543"/>
      <c r="D57" s="260" t="s">
        <v>308</v>
      </c>
      <c r="E57" s="525" t="s">
        <v>309</v>
      </c>
      <c r="F57" s="526"/>
      <c r="G57" s="73" t="s">
        <v>343</v>
      </c>
      <c r="H57" s="261">
        <f>H58+H59+H61+H68+H73+H74+H78+H79+H80+H89</f>
        <v>4530</v>
      </c>
      <c r="I57" s="263">
        <f>I58+I59+I61+I68+I73+I74+I78+I79+I80+I89</f>
        <v>949.6</v>
      </c>
      <c r="J57" s="263">
        <f>J58+J59+J61+J68+J73+J74+J78+J79+J80+J89</f>
        <v>2212.3000000000002</v>
      </c>
      <c r="K57" s="263">
        <f>K58+K59+K61+K68+K73+K74+K78+K79+K80+K89</f>
        <v>3439.75</v>
      </c>
      <c r="L57" s="263">
        <f>L58+L59+L61+L68+L73+L74+L78+L79+L80+L89</f>
        <v>4530</v>
      </c>
      <c r="M57" s="74"/>
      <c r="N57" s="74"/>
      <c r="O57" s="144"/>
      <c r="P57" s="144"/>
      <c r="Q57" s="144"/>
      <c r="R57" s="144"/>
      <c r="S57" s="448"/>
    </row>
    <row r="58" spans="2:19" ht="13.5" thickBot="1">
      <c r="B58" s="547"/>
      <c r="C58" s="543"/>
      <c r="D58" s="73" t="s">
        <v>93</v>
      </c>
      <c r="E58" s="540" t="s">
        <v>310</v>
      </c>
      <c r="F58" s="541"/>
      <c r="G58" s="73" t="s">
        <v>344</v>
      </c>
      <c r="H58" s="263"/>
      <c r="I58" s="263"/>
      <c r="J58" s="263"/>
      <c r="K58" s="263"/>
      <c r="L58" s="263"/>
      <c r="M58" s="144"/>
      <c r="N58" s="144"/>
      <c r="O58" s="144"/>
      <c r="P58" s="144"/>
      <c r="Q58" s="144"/>
      <c r="R58" s="144"/>
      <c r="S58" s="448"/>
    </row>
    <row r="59" spans="2:19" ht="13.5" thickBot="1">
      <c r="B59" s="547"/>
      <c r="C59" s="543"/>
      <c r="D59" s="73" t="s">
        <v>149</v>
      </c>
      <c r="E59" s="540" t="s">
        <v>311</v>
      </c>
      <c r="F59" s="541"/>
      <c r="G59" s="73" t="s">
        <v>345</v>
      </c>
      <c r="H59" s="263">
        <v>0</v>
      </c>
      <c r="I59" s="263">
        <f>I60</f>
        <v>0</v>
      </c>
      <c r="J59" s="263">
        <f>J60</f>
        <v>0</v>
      </c>
      <c r="K59" s="263">
        <f>K60</f>
        <v>0</v>
      </c>
      <c r="L59" s="263">
        <f>L60</f>
        <v>0</v>
      </c>
      <c r="M59" s="144"/>
      <c r="N59" s="144"/>
      <c r="O59" s="144"/>
      <c r="P59" s="144"/>
      <c r="Q59" s="144"/>
      <c r="R59" s="144"/>
      <c r="S59" s="448"/>
    </row>
    <row r="60" spans="2:19" ht="13.5" thickBot="1">
      <c r="B60" s="547"/>
      <c r="C60" s="543"/>
      <c r="D60" s="73"/>
      <c r="E60" s="540" t="s">
        <v>708</v>
      </c>
      <c r="F60" s="541"/>
      <c r="G60" s="73" t="s">
        <v>346</v>
      </c>
      <c r="H60" s="263">
        <v>0</v>
      </c>
      <c r="I60" s="263"/>
      <c r="J60" s="263"/>
      <c r="K60" s="263"/>
      <c r="L60" s="263"/>
      <c r="M60" s="144"/>
      <c r="N60" s="144"/>
      <c r="O60" s="144"/>
      <c r="P60" s="144"/>
      <c r="Q60" s="144"/>
      <c r="R60" s="144"/>
      <c r="S60" s="448"/>
    </row>
    <row r="61" spans="2:19" ht="30.75" customHeight="1" thickBot="1">
      <c r="B61" s="547"/>
      <c r="C61" s="543"/>
      <c r="D61" s="73" t="s">
        <v>152</v>
      </c>
      <c r="E61" s="525" t="s">
        <v>312</v>
      </c>
      <c r="F61" s="526"/>
      <c r="G61" s="73" t="s">
        <v>347</v>
      </c>
      <c r="H61" s="263">
        <f>H62+H64</f>
        <v>85</v>
      </c>
      <c r="I61" s="263">
        <f>I62+I64</f>
        <v>17.5</v>
      </c>
      <c r="J61" s="263">
        <f>J62+J64</f>
        <v>45</v>
      </c>
      <c r="K61" s="263">
        <f>K62+K64</f>
        <v>62</v>
      </c>
      <c r="L61" s="263">
        <f>L62+L64</f>
        <v>85</v>
      </c>
      <c r="M61" s="144"/>
      <c r="N61" s="144"/>
      <c r="O61" s="144"/>
      <c r="P61" s="144"/>
      <c r="Q61" s="144"/>
      <c r="R61" s="144"/>
      <c r="S61" s="448"/>
    </row>
    <row r="62" spans="2:19" ht="13.5" thickBot="1">
      <c r="B62" s="547"/>
      <c r="C62" s="543"/>
      <c r="D62" s="73"/>
      <c r="E62" s="73" t="s">
        <v>514</v>
      </c>
      <c r="F62" s="105" t="s">
        <v>313</v>
      </c>
      <c r="G62" s="73" t="s">
        <v>348</v>
      </c>
      <c r="H62" s="263">
        <v>56</v>
      </c>
      <c r="I62" s="263">
        <v>15</v>
      </c>
      <c r="J62" s="263">
        <v>30</v>
      </c>
      <c r="K62" s="263">
        <v>42</v>
      </c>
      <c r="L62" s="263">
        <v>56</v>
      </c>
      <c r="M62" s="144"/>
      <c r="N62" s="144"/>
      <c r="O62" s="144"/>
      <c r="P62" s="144"/>
      <c r="Q62" s="144"/>
      <c r="R62" s="144"/>
      <c r="S62" s="448"/>
    </row>
    <row r="63" spans="2:19" ht="26.25" thickBot="1">
      <c r="B63" s="547"/>
      <c r="C63" s="543"/>
      <c r="D63" s="73"/>
      <c r="E63" s="73"/>
      <c r="F63" s="106" t="s">
        <v>314</v>
      </c>
      <c r="G63" s="73" t="s">
        <v>349</v>
      </c>
      <c r="H63" s="263">
        <v>0</v>
      </c>
      <c r="I63" s="263"/>
      <c r="J63" s="263"/>
      <c r="K63" s="263"/>
      <c r="L63" s="263"/>
      <c r="M63" s="144"/>
      <c r="N63" s="144"/>
      <c r="O63" s="144"/>
      <c r="P63" s="144"/>
      <c r="Q63" s="144"/>
      <c r="R63" s="144"/>
      <c r="S63" s="448"/>
    </row>
    <row r="64" spans="2:19" ht="13.5" thickBot="1">
      <c r="B64" s="547"/>
      <c r="C64" s="543"/>
      <c r="D64" s="73"/>
      <c r="E64" s="73" t="s">
        <v>315</v>
      </c>
      <c r="F64" s="105" t="s">
        <v>316</v>
      </c>
      <c r="G64" s="73" t="s">
        <v>350</v>
      </c>
      <c r="H64" s="263">
        <f>H65+H66+H67</f>
        <v>29</v>
      </c>
      <c r="I64" s="263">
        <v>2.5</v>
      </c>
      <c r="J64" s="263">
        <v>15</v>
      </c>
      <c r="K64" s="263">
        <v>20</v>
      </c>
      <c r="L64" s="263">
        <f>L65+L66+L67</f>
        <v>29</v>
      </c>
      <c r="M64" s="144"/>
      <c r="N64" s="144"/>
      <c r="O64" s="144"/>
      <c r="P64" s="144"/>
      <c r="Q64" s="144"/>
      <c r="R64" s="144"/>
      <c r="S64" s="448"/>
    </row>
    <row r="65" spans="2:21" ht="26.25" thickBot="1">
      <c r="B65" s="547"/>
      <c r="C65" s="543"/>
      <c r="D65" s="73"/>
      <c r="E65" s="73"/>
      <c r="F65" s="106" t="s">
        <v>317</v>
      </c>
      <c r="G65" s="73" t="s">
        <v>351</v>
      </c>
      <c r="H65" s="263">
        <v>0</v>
      </c>
      <c r="I65" s="263">
        <v>0</v>
      </c>
      <c r="J65" s="263">
        <v>0</v>
      </c>
      <c r="K65" s="263">
        <v>0</v>
      </c>
      <c r="L65" s="263">
        <v>0</v>
      </c>
      <c r="M65" s="144"/>
      <c r="N65" s="144"/>
      <c r="O65" s="144"/>
      <c r="P65" s="144"/>
      <c r="Q65" s="144"/>
      <c r="R65" s="144"/>
      <c r="S65" s="448"/>
    </row>
    <row r="66" spans="2:21" ht="39" thickBot="1">
      <c r="B66" s="547"/>
      <c r="C66" s="543"/>
      <c r="D66" s="73"/>
      <c r="E66" s="73"/>
      <c r="F66" s="106" t="s">
        <v>318</v>
      </c>
      <c r="G66" s="73" t="s">
        <v>352</v>
      </c>
      <c r="H66" s="263">
        <v>0</v>
      </c>
      <c r="I66" s="263">
        <v>0</v>
      </c>
      <c r="J66" s="263">
        <v>0</v>
      </c>
      <c r="K66" s="263">
        <v>0</v>
      </c>
      <c r="L66" s="263">
        <v>0</v>
      </c>
      <c r="M66" s="144"/>
      <c r="N66" s="144"/>
      <c r="O66" s="144"/>
      <c r="P66" s="144"/>
      <c r="Q66" s="144"/>
      <c r="R66" s="144"/>
      <c r="S66" s="448"/>
    </row>
    <row r="67" spans="2:21" ht="13.5" thickBot="1">
      <c r="B67" s="547"/>
      <c r="C67" s="543"/>
      <c r="D67" s="73"/>
      <c r="E67" s="73"/>
      <c r="F67" s="105" t="s">
        <v>319</v>
      </c>
      <c r="G67" s="73" t="s">
        <v>353</v>
      </c>
      <c r="H67" s="263">
        <v>29</v>
      </c>
      <c r="I67" s="263">
        <v>2.5</v>
      </c>
      <c r="J67" s="263">
        <v>5</v>
      </c>
      <c r="K67" s="263">
        <v>7.5</v>
      </c>
      <c r="L67" s="263">
        <v>29</v>
      </c>
      <c r="M67" s="144"/>
      <c r="N67" s="144"/>
      <c r="O67" s="144"/>
      <c r="P67" s="144"/>
      <c r="Q67" s="144"/>
      <c r="R67" s="144"/>
      <c r="S67" s="448"/>
    </row>
    <row r="68" spans="2:21" ht="27.75" customHeight="1" thickBot="1">
      <c r="B68" s="547"/>
      <c r="C68" s="543"/>
      <c r="D68" s="73" t="s">
        <v>155</v>
      </c>
      <c r="E68" s="525" t="s">
        <v>320</v>
      </c>
      <c r="F68" s="526"/>
      <c r="G68" s="73" t="s">
        <v>354</v>
      </c>
      <c r="H68" s="265">
        <f>H69+H70+H71+H72</f>
        <v>25</v>
      </c>
      <c r="I68" s="265">
        <f>I69+I70+I71+I72</f>
        <v>2.5</v>
      </c>
      <c r="J68" s="265">
        <f>J69+J70+J71+J72</f>
        <v>10</v>
      </c>
      <c r="K68" s="265">
        <f>K69+K70+K71+K72</f>
        <v>19</v>
      </c>
      <c r="L68" s="265">
        <f>L69+L70+L71+L72</f>
        <v>25</v>
      </c>
      <c r="M68" s="144"/>
      <c r="N68" s="144"/>
      <c r="O68" s="144"/>
      <c r="P68" s="144"/>
      <c r="Q68" s="144"/>
      <c r="R68" s="144"/>
      <c r="S68" s="448"/>
    </row>
    <row r="69" spans="2:21" ht="13.5" thickBot="1">
      <c r="B69" s="547"/>
      <c r="C69" s="543"/>
      <c r="D69" s="73"/>
      <c r="E69" s="73" t="s">
        <v>321</v>
      </c>
      <c r="F69" s="105" t="s">
        <v>440</v>
      </c>
      <c r="G69" s="73" t="s">
        <v>122</v>
      </c>
      <c r="H69" s="266"/>
      <c r="I69" s="265"/>
      <c r="J69" s="265"/>
      <c r="K69" s="265"/>
      <c r="L69" s="265"/>
      <c r="M69" s="144"/>
      <c r="N69" s="144"/>
      <c r="O69" s="144"/>
      <c r="P69" s="144"/>
      <c r="Q69" s="144"/>
      <c r="R69" s="144"/>
      <c r="S69" s="448"/>
    </row>
    <row r="70" spans="2:21" ht="13.5" thickBot="1">
      <c r="B70" s="547"/>
      <c r="C70" s="543"/>
      <c r="D70" s="73"/>
      <c r="E70" s="73" t="s">
        <v>322</v>
      </c>
      <c r="F70" s="105" t="s">
        <v>709</v>
      </c>
      <c r="G70" s="73" t="s">
        <v>123</v>
      </c>
      <c r="H70" s="266"/>
      <c r="I70" s="265"/>
      <c r="J70" s="265"/>
      <c r="K70" s="265"/>
      <c r="L70" s="265"/>
      <c r="M70" s="144"/>
      <c r="N70" s="144"/>
      <c r="O70" s="144"/>
      <c r="P70" s="144"/>
      <c r="Q70" s="144"/>
      <c r="R70" s="144"/>
      <c r="S70" s="448"/>
    </row>
    <row r="71" spans="2:21" ht="13.5" thickBot="1">
      <c r="B71" s="547"/>
      <c r="C71" s="543"/>
      <c r="D71" s="73"/>
      <c r="E71" s="73" t="s">
        <v>323</v>
      </c>
      <c r="F71" s="106" t="s">
        <v>710</v>
      </c>
      <c r="G71" s="73" t="s">
        <v>124</v>
      </c>
      <c r="H71" s="265">
        <v>5</v>
      </c>
      <c r="I71" s="265">
        <v>0.5</v>
      </c>
      <c r="J71" s="265">
        <v>3</v>
      </c>
      <c r="K71" s="265">
        <v>4</v>
      </c>
      <c r="L71" s="265">
        <v>5</v>
      </c>
      <c r="M71" s="144"/>
      <c r="N71" s="144"/>
      <c r="O71" s="144"/>
      <c r="P71" s="144"/>
      <c r="Q71" s="144"/>
      <c r="R71" s="144"/>
      <c r="S71" s="448"/>
    </row>
    <row r="72" spans="2:21" ht="13.5" thickBot="1">
      <c r="B72" s="547"/>
      <c r="C72" s="543"/>
      <c r="D72" s="73"/>
      <c r="E72" s="73" t="s">
        <v>324</v>
      </c>
      <c r="F72" s="105" t="s">
        <v>711</v>
      </c>
      <c r="G72" s="73" t="s">
        <v>125</v>
      </c>
      <c r="H72" s="265">
        <v>20</v>
      </c>
      <c r="I72" s="265">
        <v>2</v>
      </c>
      <c r="J72" s="265">
        <v>7</v>
      </c>
      <c r="K72" s="265">
        <v>15</v>
      </c>
      <c r="L72" s="265">
        <v>20</v>
      </c>
      <c r="M72" s="144"/>
      <c r="N72" s="144"/>
      <c r="O72" s="144"/>
      <c r="P72" s="144"/>
      <c r="Q72" s="144"/>
      <c r="R72" s="144"/>
      <c r="S72" s="448"/>
      <c r="T72" s="278"/>
    </row>
    <row r="73" spans="2:21" ht="13.5" thickBot="1">
      <c r="B73" s="547"/>
      <c r="C73" s="543"/>
      <c r="D73" s="73" t="s">
        <v>94</v>
      </c>
      <c r="E73" s="540" t="s">
        <v>325</v>
      </c>
      <c r="F73" s="541"/>
      <c r="G73" s="73" t="s">
        <v>126</v>
      </c>
      <c r="H73" s="263">
        <v>95</v>
      </c>
      <c r="I73" s="263">
        <v>20</v>
      </c>
      <c r="J73" s="263">
        <v>40</v>
      </c>
      <c r="K73" s="263">
        <v>65</v>
      </c>
      <c r="L73" s="263">
        <v>95</v>
      </c>
      <c r="M73" s="144"/>
      <c r="N73" s="144"/>
      <c r="O73" s="144"/>
      <c r="P73" s="144"/>
      <c r="Q73" s="144"/>
      <c r="R73" s="144"/>
      <c r="S73" s="448"/>
    </row>
    <row r="74" spans="2:21" ht="13.5" thickBot="1">
      <c r="B74" s="547"/>
      <c r="C74" s="543"/>
      <c r="D74" s="73" t="s">
        <v>105</v>
      </c>
      <c r="E74" s="540" t="s">
        <v>326</v>
      </c>
      <c r="F74" s="541"/>
      <c r="G74" s="73" t="s">
        <v>128</v>
      </c>
      <c r="H74" s="263">
        <v>400</v>
      </c>
      <c r="I74" s="263">
        <v>70</v>
      </c>
      <c r="J74" s="263">
        <v>220</v>
      </c>
      <c r="K74" s="263">
        <v>320</v>
      </c>
      <c r="L74" s="263">
        <v>400</v>
      </c>
      <c r="M74" s="144"/>
      <c r="N74" s="144"/>
      <c r="O74" s="144"/>
      <c r="P74" s="144"/>
      <c r="Q74" s="144"/>
      <c r="R74" s="144"/>
      <c r="S74" s="448"/>
    </row>
    <row r="75" spans="2:21" ht="13.5" thickBot="1">
      <c r="B75" s="547"/>
      <c r="C75" s="543"/>
      <c r="D75" s="73"/>
      <c r="E75" s="540" t="s">
        <v>327</v>
      </c>
      <c r="F75" s="541"/>
      <c r="G75" s="73" t="s">
        <v>129</v>
      </c>
      <c r="H75" s="263">
        <f>H76+H77</f>
        <v>100</v>
      </c>
      <c r="I75" s="263">
        <f>I76+I77</f>
        <v>20</v>
      </c>
      <c r="J75" s="263">
        <f>J76+J77</f>
        <v>42</v>
      </c>
      <c r="K75" s="263">
        <f>K76+K77</f>
        <v>80</v>
      </c>
      <c r="L75" s="263">
        <f>L76+L77</f>
        <v>100</v>
      </c>
      <c r="M75" s="144"/>
      <c r="N75" s="144"/>
      <c r="O75" s="144"/>
      <c r="P75" s="144"/>
      <c r="Q75" s="144"/>
      <c r="R75" s="144"/>
      <c r="S75" s="448"/>
    </row>
    <row r="76" spans="2:21" ht="13.5" thickBot="1">
      <c r="B76" s="547"/>
      <c r="C76" s="543"/>
      <c r="D76" s="73"/>
      <c r="E76" s="532" t="s">
        <v>712</v>
      </c>
      <c r="F76" s="533"/>
      <c r="G76" s="73" t="s">
        <v>130</v>
      </c>
      <c r="H76" s="263">
        <v>80</v>
      </c>
      <c r="I76" s="263">
        <v>15</v>
      </c>
      <c r="J76" s="263">
        <v>32</v>
      </c>
      <c r="K76" s="263">
        <v>65</v>
      </c>
      <c r="L76" s="263">
        <v>80</v>
      </c>
      <c r="M76" s="144"/>
      <c r="N76" s="144"/>
      <c r="O76" s="144"/>
      <c r="P76" s="144"/>
      <c r="Q76" s="144"/>
      <c r="R76" s="144"/>
      <c r="S76" s="448"/>
      <c r="U76" s="45"/>
    </row>
    <row r="77" spans="2:21" ht="13.5" thickBot="1">
      <c r="B77" s="547"/>
      <c r="C77" s="543"/>
      <c r="D77" s="73"/>
      <c r="E77" s="532" t="s">
        <v>713</v>
      </c>
      <c r="F77" s="533"/>
      <c r="G77" s="73" t="s">
        <v>131</v>
      </c>
      <c r="H77" s="263">
        <v>20</v>
      </c>
      <c r="I77" s="263">
        <v>5</v>
      </c>
      <c r="J77" s="263">
        <v>10</v>
      </c>
      <c r="K77" s="263">
        <v>15</v>
      </c>
      <c r="L77" s="263">
        <v>20</v>
      </c>
      <c r="M77" s="144"/>
      <c r="N77" s="144"/>
      <c r="O77" s="144"/>
      <c r="P77" s="144"/>
      <c r="Q77" s="144"/>
      <c r="R77" s="144"/>
      <c r="S77" s="448"/>
    </row>
    <row r="78" spans="2:21" ht="13.5" thickBot="1">
      <c r="B78" s="547"/>
      <c r="C78" s="543"/>
      <c r="D78" s="73" t="s">
        <v>132</v>
      </c>
      <c r="E78" s="540" t="s">
        <v>328</v>
      </c>
      <c r="F78" s="541"/>
      <c r="G78" s="73" t="s">
        <v>133</v>
      </c>
      <c r="H78" s="263">
        <v>315</v>
      </c>
      <c r="I78" s="263">
        <v>80</v>
      </c>
      <c r="J78" s="263">
        <v>160</v>
      </c>
      <c r="K78" s="263">
        <v>240</v>
      </c>
      <c r="L78" s="263">
        <v>315</v>
      </c>
      <c r="M78" s="144"/>
      <c r="N78" s="144"/>
      <c r="O78" s="144"/>
      <c r="P78" s="144"/>
      <c r="Q78" s="144"/>
      <c r="R78" s="144"/>
      <c r="S78" s="448"/>
    </row>
    <row r="79" spans="2:21" ht="13.5" thickBot="1">
      <c r="B79" s="547"/>
      <c r="C79" s="543"/>
      <c r="D79" s="73" t="s">
        <v>329</v>
      </c>
      <c r="E79" s="540" t="s">
        <v>330</v>
      </c>
      <c r="F79" s="541"/>
      <c r="G79" s="73" t="s">
        <v>134</v>
      </c>
      <c r="H79" s="263">
        <v>770</v>
      </c>
      <c r="I79" s="263">
        <v>100</v>
      </c>
      <c r="J79" s="263">
        <v>350</v>
      </c>
      <c r="K79" s="263">
        <v>570</v>
      </c>
      <c r="L79" s="263">
        <v>770</v>
      </c>
      <c r="M79" s="144"/>
      <c r="N79" s="144"/>
      <c r="O79" s="144"/>
      <c r="P79" s="144"/>
      <c r="Q79" s="144"/>
      <c r="R79" s="144"/>
      <c r="S79" s="448"/>
    </row>
    <row r="80" spans="2:21" ht="30.75" customHeight="1" thickBot="1">
      <c r="B80" s="547"/>
      <c r="C80" s="543"/>
      <c r="D80" s="73" t="s">
        <v>331</v>
      </c>
      <c r="E80" s="525" t="s">
        <v>332</v>
      </c>
      <c r="F80" s="526"/>
      <c r="G80" s="73" t="s">
        <v>135</v>
      </c>
      <c r="H80" s="263">
        <f>H81+H82+H83+H84+H85+H86+H87+H88</f>
        <v>1495</v>
      </c>
      <c r="I80" s="263">
        <f>I81+I82+I83+I84+I85+I86+I87+I88</f>
        <v>359.6</v>
      </c>
      <c r="J80" s="263">
        <f>J81+J82+J83+J84+J85+J86+J87+J88</f>
        <v>752.3</v>
      </c>
      <c r="K80" s="263">
        <f>K81+K82+K83+K84+K85+K86+K87+K88</f>
        <v>1143.5</v>
      </c>
      <c r="L80" s="263">
        <f>L81+L82+L83+L84+L85+L86+L87+L88</f>
        <v>1495</v>
      </c>
      <c r="M80" s="144"/>
      <c r="N80" s="144"/>
      <c r="O80" s="144"/>
      <c r="P80" s="144"/>
      <c r="Q80" s="144"/>
      <c r="R80" s="144"/>
      <c r="S80" s="448"/>
    </row>
    <row r="81" spans="2:19" ht="13.5" thickBot="1">
      <c r="B81" s="547"/>
      <c r="C81" s="543"/>
      <c r="D81" s="73"/>
      <c r="E81" s="73" t="s">
        <v>181</v>
      </c>
      <c r="F81" s="105" t="s">
        <v>333</v>
      </c>
      <c r="G81" s="73" t="s">
        <v>136</v>
      </c>
      <c r="H81" s="263">
        <f>(1260000+50000)/1000</f>
        <v>1310</v>
      </c>
      <c r="I81" s="263">
        <v>327.10000000000002</v>
      </c>
      <c r="J81" s="263">
        <v>662.3</v>
      </c>
      <c r="K81" s="263">
        <v>938.5</v>
      </c>
      <c r="L81" s="263">
        <v>1310</v>
      </c>
      <c r="M81" s="144"/>
      <c r="N81" s="144"/>
      <c r="O81" s="144"/>
      <c r="P81" s="144"/>
      <c r="Q81" s="144"/>
      <c r="R81" s="144"/>
      <c r="S81" s="448"/>
    </row>
    <row r="82" spans="2:19" ht="13.5" thickBot="1">
      <c r="B82" s="547"/>
      <c r="C82" s="543"/>
      <c r="D82" s="73"/>
      <c r="E82" s="73" t="s">
        <v>182</v>
      </c>
      <c r="F82" s="106" t="s">
        <v>432</v>
      </c>
      <c r="G82" s="73" t="s">
        <v>137</v>
      </c>
      <c r="H82" s="263">
        <v>75</v>
      </c>
      <c r="I82" s="263">
        <v>10</v>
      </c>
      <c r="J82" s="263">
        <v>25</v>
      </c>
      <c r="K82" s="263">
        <v>55</v>
      </c>
      <c r="L82" s="263">
        <v>75</v>
      </c>
      <c r="M82" s="144"/>
      <c r="N82" s="144"/>
      <c r="O82" s="144"/>
      <c r="P82" s="144"/>
      <c r="Q82" s="144"/>
      <c r="R82" s="144"/>
      <c r="S82" s="448"/>
    </row>
    <row r="83" spans="2:19" ht="13.5" thickBot="1">
      <c r="B83" s="547"/>
      <c r="C83" s="543"/>
      <c r="D83" s="73"/>
      <c r="E83" s="73" t="s">
        <v>183</v>
      </c>
      <c r="F83" s="105" t="s">
        <v>334</v>
      </c>
      <c r="G83" s="73" t="s">
        <v>138</v>
      </c>
      <c r="H83" s="263">
        <v>100</v>
      </c>
      <c r="I83" s="263">
        <v>20</v>
      </c>
      <c r="J83" s="263">
        <v>60</v>
      </c>
      <c r="K83" s="263">
        <v>75</v>
      </c>
      <c r="L83" s="263">
        <v>100</v>
      </c>
      <c r="M83" s="144"/>
      <c r="N83" s="144"/>
      <c r="O83" s="144"/>
      <c r="P83" s="144"/>
      <c r="Q83" s="144"/>
      <c r="R83" s="144"/>
      <c r="S83" s="448"/>
    </row>
    <row r="84" spans="2:19" ht="26.25" thickBot="1">
      <c r="B84" s="547"/>
      <c r="C84" s="543"/>
      <c r="D84" s="73"/>
      <c r="E84" s="73" t="s">
        <v>184</v>
      </c>
      <c r="F84" s="106" t="s">
        <v>335</v>
      </c>
      <c r="G84" s="73" t="s">
        <v>139</v>
      </c>
      <c r="H84" s="263">
        <v>0</v>
      </c>
      <c r="I84" s="263">
        <v>0</v>
      </c>
      <c r="J84" s="263">
        <v>0</v>
      </c>
      <c r="K84" s="263">
        <v>0</v>
      </c>
      <c r="L84" s="263">
        <v>0</v>
      </c>
      <c r="M84" s="144"/>
      <c r="N84" s="144"/>
      <c r="O84" s="144"/>
      <c r="P84" s="144"/>
      <c r="Q84" s="144"/>
      <c r="R84" s="144"/>
      <c r="S84" s="448"/>
    </row>
    <row r="85" spans="2:19" ht="13.5" thickBot="1">
      <c r="B85" s="547"/>
      <c r="C85" s="543"/>
      <c r="D85" s="73"/>
      <c r="E85" s="73"/>
      <c r="F85" s="105" t="s">
        <v>714</v>
      </c>
      <c r="G85" s="73" t="s">
        <v>140</v>
      </c>
      <c r="H85" s="263">
        <v>0</v>
      </c>
      <c r="I85" s="263">
        <v>0</v>
      </c>
      <c r="J85" s="263">
        <v>0</v>
      </c>
      <c r="K85" s="263">
        <v>0</v>
      </c>
      <c r="L85" s="263">
        <v>0</v>
      </c>
      <c r="M85" s="144"/>
      <c r="N85" s="144"/>
      <c r="O85" s="144"/>
      <c r="P85" s="144"/>
      <c r="Q85" s="144"/>
      <c r="R85" s="144"/>
      <c r="S85" s="448"/>
    </row>
    <row r="86" spans="2:19" ht="13.5" thickBot="1">
      <c r="B86" s="547"/>
      <c r="C86" s="543"/>
      <c r="D86" s="73"/>
      <c r="E86" s="73" t="s">
        <v>185</v>
      </c>
      <c r="F86" s="105" t="s">
        <v>336</v>
      </c>
      <c r="G86" s="73" t="s">
        <v>141</v>
      </c>
      <c r="H86" s="263">
        <v>0</v>
      </c>
      <c r="I86" s="263">
        <v>0</v>
      </c>
      <c r="J86" s="263">
        <v>0</v>
      </c>
      <c r="K86" s="263">
        <v>0</v>
      </c>
      <c r="L86" s="263">
        <v>0</v>
      </c>
      <c r="M86" s="144"/>
      <c r="N86" s="144"/>
      <c r="O86" s="144"/>
      <c r="P86" s="144"/>
      <c r="Q86" s="144"/>
      <c r="R86" s="144"/>
      <c r="S86" s="448"/>
    </row>
    <row r="87" spans="2:19" ht="39" thickBot="1">
      <c r="B87" s="547"/>
      <c r="C87" s="543"/>
      <c r="D87" s="73"/>
      <c r="E87" s="73" t="s">
        <v>186</v>
      </c>
      <c r="F87" s="106" t="s">
        <v>337</v>
      </c>
      <c r="G87" s="73" t="s">
        <v>142</v>
      </c>
      <c r="H87" s="263">
        <v>0</v>
      </c>
      <c r="I87" s="263">
        <v>0</v>
      </c>
      <c r="J87" s="263">
        <v>0</v>
      </c>
      <c r="K87" s="263">
        <v>0</v>
      </c>
      <c r="L87" s="263">
        <v>0</v>
      </c>
      <c r="M87" s="144"/>
      <c r="N87" s="144"/>
      <c r="O87" s="144"/>
      <c r="P87" s="144"/>
      <c r="Q87" s="144"/>
      <c r="R87" s="144"/>
      <c r="S87" s="448"/>
    </row>
    <row r="88" spans="2:19" ht="13.5" thickBot="1">
      <c r="B88" s="547"/>
      <c r="C88" s="543"/>
      <c r="D88" s="73"/>
      <c r="E88" s="73" t="s">
        <v>187</v>
      </c>
      <c r="F88" s="106" t="s">
        <v>338</v>
      </c>
      <c r="G88" s="73" t="s">
        <v>143</v>
      </c>
      <c r="H88" s="263">
        <v>10</v>
      </c>
      <c r="I88" s="263">
        <v>2.5</v>
      </c>
      <c r="J88" s="263">
        <v>5</v>
      </c>
      <c r="K88" s="263">
        <v>75</v>
      </c>
      <c r="L88" s="263">
        <v>10</v>
      </c>
      <c r="M88" s="144"/>
      <c r="N88" s="144"/>
      <c r="O88" s="144"/>
      <c r="P88" s="144"/>
      <c r="Q88" s="144"/>
      <c r="R88" s="144"/>
      <c r="S88" s="144"/>
    </row>
    <row r="89" spans="2:19" ht="13.5" thickBot="1">
      <c r="B89" s="547"/>
      <c r="C89" s="543"/>
      <c r="D89" s="73" t="s">
        <v>645</v>
      </c>
      <c r="E89" s="532" t="s">
        <v>296</v>
      </c>
      <c r="F89" s="533"/>
      <c r="G89" s="73" t="s">
        <v>145</v>
      </c>
      <c r="H89" s="263">
        <v>1345</v>
      </c>
      <c r="I89" s="263">
        <v>300</v>
      </c>
      <c r="J89" s="263">
        <v>635</v>
      </c>
      <c r="K89" s="263">
        <v>1020.25</v>
      </c>
      <c r="L89" s="263">
        <v>1345</v>
      </c>
      <c r="M89" s="144"/>
      <c r="N89" s="144"/>
      <c r="O89" s="144"/>
      <c r="P89" s="144"/>
      <c r="Q89" s="144"/>
      <c r="R89" s="144"/>
      <c r="S89" s="144"/>
    </row>
    <row r="90" spans="2:19" ht="31.5" customHeight="1" thickBot="1">
      <c r="B90" s="547"/>
      <c r="C90" s="543"/>
      <c r="D90" s="538" t="s">
        <v>355</v>
      </c>
      <c r="E90" s="551"/>
      <c r="F90" s="539"/>
      <c r="G90" s="260" t="s">
        <v>146</v>
      </c>
      <c r="H90" s="261">
        <f>H91+H92+H93+H94+H95+H96</f>
        <v>1749.3120000000001</v>
      </c>
      <c r="I90" s="261">
        <f>I91+I92+I93+I94+I95+I96</f>
        <v>381.27500000000003</v>
      </c>
      <c r="J90" s="261">
        <f>J91+J92+J93+J94+J95+J96</f>
        <v>842.30200000000002</v>
      </c>
      <c r="K90" s="261">
        <f>K91+K92+K93+K94+K95+K96</f>
        <v>964.02499999999998</v>
      </c>
      <c r="L90" s="261">
        <f>L91+L92+L93+L94+L95+L96</f>
        <v>1749.3120000000001</v>
      </c>
      <c r="M90" s="144"/>
      <c r="N90" s="77"/>
      <c r="O90" s="144"/>
      <c r="P90" s="77"/>
      <c r="Q90" s="144"/>
      <c r="R90" s="144"/>
      <c r="S90" s="144"/>
    </row>
    <row r="91" spans="2:19" ht="13.5" thickBot="1">
      <c r="B91" s="547"/>
      <c r="C91" s="543"/>
      <c r="D91" s="73" t="s">
        <v>93</v>
      </c>
      <c r="E91" s="536" t="s">
        <v>356</v>
      </c>
      <c r="F91" s="537"/>
      <c r="G91" s="73" t="s">
        <v>148</v>
      </c>
      <c r="H91" s="263">
        <v>0</v>
      </c>
      <c r="I91" s="263">
        <v>0</v>
      </c>
      <c r="J91" s="263">
        <v>0</v>
      </c>
      <c r="K91" s="263">
        <v>0</v>
      </c>
      <c r="L91" s="263">
        <v>0</v>
      </c>
      <c r="M91" s="144"/>
      <c r="N91" s="144"/>
      <c r="O91" s="144"/>
      <c r="P91" s="144"/>
      <c r="Q91" s="144"/>
      <c r="R91" s="144"/>
      <c r="S91" s="144"/>
    </row>
    <row r="92" spans="2:19" ht="13.5" thickBot="1">
      <c r="B92" s="547"/>
      <c r="C92" s="543"/>
      <c r="D92" s="73" t="s">
        <v>149</v>
      </c>
      <c r="E92" s="536" t="s">
        <v>715</v>
      </c>
      <c r="F92" s="537"/>
      <c r="G92" s="73" t="s">
        <v>151</v>
      </c>
      <c r="H92" s="263">
        <v>147.17500000000001</v>
      </c>
      <c r="I92" s="263">
        <v>36.924999999999997</v>
      </c>
      <c r="J92" s="263">
        <v>73.849999999999994</v>
      </c>
      <c r="K92" s="263">
        <v>110.77500000000001</v>
      </c>
      <c r="L92" s="263">
        <v>147.17500000000001</v>
      </c>
      <c r="M92" s="144"/>
      <c r="N92" s="144"/>
      <c r="O92" s="144"/>
      <c r="P92" s="144"/>
      <c r="Q92" s="144"/>
      <c r="R92" s="144"/>
      <c r="S92" s="144"/>
    </row>
    <row r="93" spans="2:19" ht="13.5" thickBot="1">
      <c r="B93" s="547"/>
      <c r="C93" s="543"/>
      <c r="D93" s="73" t="s">
        <v>152</v>
      </c>
      <c r="E93" s="540" t="s">
        <v>153</v>
      </c>
      <c r="F93" s="541"/>
      <c r="G93" s="73" t="s">
        <v>154</v>
      </c>
      <c r="H93" s="263">
        <v>60</v>
      </c>
      <c r="I93" s="263">
        <v>0</v>
      </c>
      <c r="J93" s="263">
        <v>30</v>
      </c>
      <c r="K93" s="263">
        <v>0</v>
      </c>
      <c r="L93" s="263">
        <v>60</v>
      </c>
      <c r="M93" s="144"/>
      <c r="N93" s="144"/>
      <c r="O93" s="144"/>
      <c r="P93" s="144"/>
      <c r="Q93" s="144"/>
      <c r="R93" s="144"/>
      <c r="S93" s="144"/>
    </row>
    <row r="94" spans="2:19" ht="13.5" thickBot="1">
      <c r="B94" s="547"/>
      <c r="C94" s="543"/>
      <c r="D94" s="73" t="s">
        <v>155</v>
      </c>
      <c r="E94" s="540" t="s">
        <v>156</v>
      </c>
      <c r="F94" s="541"/>
      <c r="G94" s="73" t="s">
        <v>157</v>
      </c>
      <c r="H94" s="263">
        <v>0.4</v>
      </c>
      <c r="I94" s="263">
        <v>0</v>
      </c>
      <c r="J94" s="263">
        <v>0</v>
      </c>
      <c r="K94" s="263">
        <v>0</v>
      </c>
      <c r="L94" s="263">
        <v>0.4</v>
      </c>
      <c r="M94" s="144"/>
      <c r="N94" s="144"/>
      <c r="O94" s="144"/>
      <c r="P94" s="144"/>
      <c r="Q94" s="144"/>
      <c r="R94" s="144"/>
      <c r="S94" s="144"/>
    </row>
    <row r="95" spans="2:19" ht="13.5" thickBot="1">
      <c r="B95" s="546"/>
      <c r="C95" s="542"/>
      <c r="D95" s="73" t="s">
        <v>94</v>
      </c>
      <c r="E95" s="540" t="s">
        <v>158</v>
      </c>
      <c r="F95" s="541"/>
      <c r="G95" s="73" t="s">
        <v>159</v>
      </c>
      <c r="H95" s="263">
        <v>138</v>
      </c>
      <c r="I95" s="263">
        <v>32.5</v>
      </c>
      <c r="J95" s="263">
        <v>70</v>
      </c>
      <c r="K95" s="263">
        <v>95</v>
      </c>
      <c r="L95" s="263">
        <v>138</v>
      </c>
      <c r="M95" s="144"/>
      <c r="N95" s="144"/>
      <c r="O95" s="144"/>
      <c r="P95" s="144"/>
      <c r="Q95" s="144"/>
      <c r="R95" s="144"/>
      <c r="S95" s="144"/>
    </row>
    <row r="96" spans="2:19" ht="13.5" thickBot="1">
      <c r="B96" s="547"/>
      <c r="C96" s="543"/>
      <c r="D96" s="73" t="s">
        <v>105</v>
      </c>
      <c r="E96" s="540" t="s">
        <v>160</v>
      </c>
      <c r="F96" s="541"/>
      <c r="G96" s="73" t="s">
        <v>161</v>
      </c>
      <c r="H96" s="263">
        <v>1403.7370000000001</v>
      </c>
      <c r="I96" s="263">
        <v>311.85000000000002</v>
      </c>
      <c r="J96" s="263">
        <v>668.452</v>
      </c>
      <c r="K96" s="263">
        <v>758.25</v>
      </c>
      <c r="L96" s="263">
        <v>1403.7370000000001</v>
      </c>
      <c r="M96" s="144"/>
      <c r="N96" s="144"/>
      <c r="O96" s="144"/>
      <c r="P96" s="144"/>
      <c r="Q96" s="144"/>
      <c r="R96" s="144"/>
      <c r="S96" s="144"/>
    </row>
    <row r="97" spans="2:24" ht="36" customHeight="1" thickBot="1">
      <c r="B97" s="547"/>
      <c r="C97" s="543"/>
      <c r="D97" s="538" t="s">
        <v>357</v>
      </c>
      <c r="E97" s="551"/>
      <c r="F97" s="539"/>
      <c r="G97" s="260" t="s">
        <v>162</v>
      </c>
      <c r="H97" s="261">
        <f>H98+H102+H110+H114+H119</f>
        <v>55280.888999999996</v>
      </c>
      <c r="I97" s="261">
        <f>I98+I102+I110+I114+I119</f>
        <v>15269.557000000001</v>
      </c>
      <c r="J97" s="261">
        <f>J98+J102+J110+J114+J119</f>
        <v>31164.303</v>
      </c>
      <c r="K97" s="261">
        <f>K98+K102+K110+K114+K119</f>
        <v>42736.319000000003</v>
      </c>
      <c r="L97" s="261">
        <f>L98+L102+L110+L114+L119</f>
        <v>55280.888999999996</v>
      </c>
      <c r="M97" s="144"/>
      <c r="N97" s="144"/>
      <c r="O97" s="144"/>
      <c r="P97" s="144"/>
      <c r="Q97" s="144"/>
      <c r="R97" s="144"/>
      <c r="S97" s="144"/>
      <c r="T97" s="243"/>
      <c r="U97" s="243"/>
      <c r="V97" s="243"/>
      <c r="W97" s="243"/>
      <c r="X97" s="243"/>
    </row>
    <row r="98" spans="2:24" ht="29.25" customHeight="1" thickBot="1">
      <c r="B98" s="547"/>
      <c r="C98" s="543"/>
      <c r="D98" s="73" t="s">
        <v>163</v>
      </c>
      <c r="E98" s="538" t="s">
        <v>358</v>
      </c>
      <c r="F98" s="539"/>
      <c r="G98" s="260" t="s">
        <v>165</v>
      </c>
      <c r="H98" s="261">
        <f>H99+H100+H101</f>
        <v>34950</v>
      </c>
      <c r="I98" s="263">
        <f>I99+I100+I101</f>
        <v>8841.2960000000003</v>
      </c>
      <c r="J98" s="263">
        <f>J99+J100+J101</f>
        <v>19246.412</v>
      </c>
      <c r="K98" s="263">
        <f>K99+K100+K101</f>
        <v>26823.705000000002</v>
      </c>
      <c r="L98" s="263">
        <f>L99+L100+L101</f>
        <v>34950</v>
      </c>
      <c r="M98" s="144"/>
      <c r="N98" s="144"/>
      <c r="O98" s="144"/>
      <c r="P98" s="144"/>
      <c r="Q98" s="144"/>
      <c r="R98" s="144"/>
      <c r="S98" s="144"/>
    </row>
    <row r="99" spans="2:24" ht="13.5" thickBot="1">
      <c r="B99" s="547"/>
      <c r="C99" s="543"/>
      <c r="D99" s="542"/>
      <c r="E99" s="540" t="s">
        <v>359</v>
      </c>
      <c r="F99" s="541"/>
      <c r="G99" s="73" t="s">
        <v>167</v>
      </c>
      <c r="H99" s="263">
        <v>24860</v>
      </c>
      <c r="I99" s="263">
        <v>6215.04</v>
      </c>
      <c r="J99" s="263">
        <v>13659.32</v>
      </c>
      <c r="K99" s="263">
        <v>19259.32</v>
      </c>
      <c r="L99" s="263">
        <v>24860</v>
      </c>
      <c r="M99" s="144"/>
      <c r="N99" s="144"/>
      <c r="O99" s="144"/>
      <c r="P99" s="144"/>
      <c r="Q99" s="144"/>
      <c r="R99" s="144"/>
      <c r="S99" s="144"/>
    </row>
    <row r="100" spans="2:24" ht="13.5" thickBot="1">
      <c r="B100" s="547"/>
      <c r="C100" s="543"/>
      <c r="D100" s="543"/>
      <c r="E100" s="536" t="s">
        <v>360</v>
      </c>
      <c r="F100" s="537"/>
      <c r="G100" s="73" t="s">
        <v>361</v>
      </c>
      <c r="H100" s="263">
        <v>9564</v>
      </c>
      <c r="I100" s="263">
        <v>2486.0160000000001</v>
      </c>
      <c r="J100" s="263">
        <v>5314.8419999999996</v>
      </c>
      <c r="K100" s="263">
        <v>7212.68</v>
      </c>
      <c r="L100" s="263">
        <v>9564</v>
      </c>
      <c r="M100" s="144"/>
      <c r="N100" s="144"/>
      <c r="O100" s="144"/>
      <c r="P100" s="144"/>
      <c r="Q100" s="144"/>
      <c r="R100" s="144"/>
      <c r="S100" s="144"/>
    </row>
    <row r="101" spans="2:24" ht="13.5" thickBot="1">
      <c r="B101" s="547"/>
      <c r="C101" s="543"/>
      <c r="D101" s="544"/>
      <c r="E101" s="540" t="s">
        <v>362</v>
      </c>
      <c r="F101" s="541"/>
      <c r="G101" s="73" t="s">
        <v>363</v>
      </c>
      <c r="H101" s="263">
        <v>526</v>
      </c>
      <c r="I101" s="263">
        <v>140.24</v>
      </c>
      <c r="J101" s="263">
        <v>272.25</v>
      </c>
      <c r="K101" s="263">
        <v>351.70499999999998</v>
      </c>
      <c r="L101" s="263">
        <v>526</v>
      </c>
      <c r="M101" s="144"/>
      <c r="N101" s="144"/>
      <c r="O101" s="144"/>
      <c r="P101" s="144"/>
      <c r="Q101" s="144"/>
      <c r="R101" s="144"/>
      <c r="S101" s="144"/>
    </row>
    <row r="102" spans="2:24" ht="33.75" customHeight="1" thickBot="1">
      <c r="B102" s="547"/>
      <c r="C102" s="543"/>
      <c r="D102" s="73" t="s">
        <v>197</v>
      </c>
      <c r="E102" s="538" t="s">
        <v>716</v>
      </c>
      <c r="F102" s="539"/>
      <c r="G102" s="260" t="s">
        <v>364</v>
      </c>
      <c r="H102" s="261">
        <f>H103+H106+H107+H108+H109</f>
        <v>2473.4139999999998</v>
      </c>
      <c r="I102" s="263">
        <f>I103+I106+I107+I108+I109</f>
        <v>583.077</v>
      </c>
      <c r="J102" s="263">
        <f>J103+J106+J107+J108+J109</f>
        <v>1214.3499999999999</v>
      </c>
      <c r="K102" s="263">
        <f>K103+K106+K107+K108+K109</f>
        <v>1918.86</v>
      </c>
      <c r="L102" s="263">
        <f>L103+L106+L107+L108+L109</f>
        <v>2473.4139999999998</v>
      </c>
      <c r="M102" s="144"/>
      <c r="N102" s="144"/>
      <c r="O102" s="144"/>
      <c r="P102" s="144"/>
      <c r="Q102" s="144"/>
      <c r="R102" s="144"/>
      <c r="S102" s="144"/>
    </row>
    <row r="103" spans="2:24" ht="45" customHeight="1" thickBot="1">
      <c r="B103" s="547"/>
      <c r="C103" s="543"/>
      <c r="D103" s="73"/>
      <c r="E103" s="525" t="s">
        <v>339</v>
      </c>
      <c r="F103" s="526"/>
      <c r="G103" s="73" t="s">
        <v>365</v>
      </c>
      <c r="H103" s="263">
        <v>700</v>
      </c>
      <c r="I103" s="263">
        <v>75</v>
      </c>
      <c r="J103" s="263">
        <v>225.25</v>
      </c>
      <c r="K103" s="263">
        <v>572.54999999999995</v>
      </c>
      <c r="L103" s="263">
        <v>700</v>
      </c>
      <c r="M103" s="144"/>
      <c r="N103" s="144"/>
      <c r="O103" s="144"/>
      <c r="P103" s="144"/>
      <c r="Q103" s="144"/>
      <c r="R103" s="144"/>
      <c r="S103" s="144"/>
    </row>
    <row r="104" spans="2:24" ht="26.25" thickBot="1">
      <c r="B104" s="547"/>
      <c r="C104" s="543"/>
      <c r="D104" s="73"/>
      <c r="E104" s="73"/>
      <c r="F104" s="106" t="s">
        <v>366</v>
      </c>
      <c r="G104" s="73" t="s">
        <v>367</v>
      </c>
      <c r="H104" s="263">
        <v>0</v>
      </c>
      <c r="I104" s="263">
        <v>0</v>
      </c>
      <c r="J104" s="263">
        <v>0</v>
      </c>
      <c r="K104" s="263">
        <v>0</v>
      </c>
      <c r="L104" s="263">
        <v>0</v>
      </c>
      <c r="M104" s="144"/>
      <c r="N104" s="144"/>
      <c r="O104" s="144"/>
      <c r="P104" s="144"/>
      <c r="Q104" s="144"/>
      <c r="R104" s="144"/>
      <c r="S104" s="144"/>
    </row>
    <row r="105" spans="2:24" ht="26.25" thickBot="1">
      <c r="B105" s="547"/>
      <c r="C105" s="543"/>
      <c r="D105" s="73"/>
      <c r="E105" s="73"/>
      <c r="F105" s="106" t="s">
        <v>368</v>
      </c>
      <c r="G105" s="73" t="s">
        <v>369</v>
      </c>
      <c r="H105" s="263">
        <v>130</v>
      </c>
      <c r="I105" s="263">
        <v>30.3</v>
      </c>
      <c r="J105" s="263">
        <f>(78200)/1000</f>
        <v>78.2</v>
      </c>
      <c r="K105" s="263">
        <v>78.2</v>
      </c>
      <c r="L105" s="263">
        <v>130</v>
      </c>
      <c r="M105" s="144"/>
      <c r="N105" s="144"/>
      <c r="O105" s="144"/>
      <c r="P105" s="144"/>
      <c r="Q105" s="144"/>
      <c r="R105" s="144"/>
      <c r="S105" s="144"/>
    </row>
    <row r="106" spans="2:24" ht="13.5" thickBot="1">
      <c r="B106" s="547"/>
      <c r="C106" s="543"/>
      <c r="D106" s="73"/>
      <c r="E106" s="540" t="s">
        <v>213</v>
      </c>
      <c r="F106" s="541"/>
      <c r="G106" s="73" t="s">
        <v>370</v>
      </c>
      <c r="H106" s="263">
        <v>1773.414</v>
      </c>
      <c r="I106" s="263">
        <v>508.077</v>
      </c>
      <c r="J106" s="263">
        <v>989.1</v>
      </c>
      <c r="K106" s="263">
        <v>1346.31</v>
      </c>
      <c r="L106" s="263">
        <v>1773.414</v>
      </c>
      <c r="M106" s="144"/>
      <c r="N106" s="144"/>
      <c r="O106" s="144"/>
      <c r="P106" s="144"/>
      <c r="Q106" s="144"/>
      <c r="R106" s="144"/>
      <c r="S106" s="144"/>
    </row>
    <row r="107" spans="2:24" ht="13.5" thickBot="1">
      <c r="B107" s="547"/>
      <c r="C107" s="543"/>
      <c r="D107" s="73"/>
      <c r="E107" s="540" t="s">
        <v>371</v>
      </c>
      <c r="F107" s="541"/>
      <c r="G107" s="73" t="s">
        <v>372</v>
      </c>
      <c r="H107" s="263">
        <v>0</v>
      </c>
      <c r="I107" s="263">
        <v>0</v>
      </c>
      <c r="J107" s="263">
        <v>0</v>
      </c>
      <c r="K107" s="263">
        <v>0</v>
      </c>
      <c r="L107" s="263">
        <v>0</v>
      </c>
      <c r="M107" s="144"/>
      <c r="N107" s="144"/>
      <c r="O107" s="144"/>
      <c r="P107" s="144"/>
      <c r="Q107" s="144"/>
      <c r="R107" s="144"/>
      <c r="S107" s="144"/>
    </row>
    <row r="108" spans="2:24" ht="13.5" thickBot="1">
      <c r="B108" s="547"/>
      <c r="C108" s="543"/>
      <c r="D108" s="73"/>
      <c r="E108" s="525" t="s">
        <v>717</v>
      </c>
      <c r="F108" s="526"/>
      <c r="G108" s="73" t="s">
        <v>373</v>
      </c>
      <c r="H108" s="263">
        <v>0</v>
      </c>
      <c r="I108" s="263">
        <v>0</v>
      </c>
      <c r="J108" s="263">
        <v>0</v>
      </c>
      <c r="K108" s="263">
        <v>0</v>
      </c>
      <c r="L108" s="263">
        <v>0</v>
      </c>
      <c r="M108" s="144"/>
      <c r="N108" s="144"/>
      <c r="O108" s="144"/>
      <c r="P108" s="144"/>
      <c r="Q108" s="144"/>
      <c r="R108" s="144"/>
      <c r="S108" s="144"/>
    </row>
    <row r="109" spans="2:24" ht="13.5" thickBot="1">
      <c r="B109" s="547"/>
      <c r="C109" s="543"/>
      <c r="D109" s="73"/>
      <c r="E109" s="540" t="s">
        <v>374</v>
      </c>
      <c r="F109" s="541"/>
      <c r="G109" s="73" t="s">
        <v>375</v>
      </c>
      <c r="H109" s="263"/>
      <c r="I109" s="263"/>
      <c r="J109" s="263"/>
      <c r="K109" s="263"/>
      <c r="L109" s="263"/>
      <c r="M109" s="144"/>
      <c r="N109" s="144"/>
      <c r="O109" s="144"/>
      <c r="P109" s="144"/>
      <c r="Q109" s="144"/>
      <c r="R109" s="144"/>
      <c r="S109" s="144"/>
    </row>
    <row r="110" spans="2:24" ht="32.25" customHeight="1" thickBot="1">
      <c r="B110" s="547"/>
      <c r="C110" s="543"/>
      <c r="D110" s="73" t="s">
        <v>267</v>
      </c>
      <c r="E110" s="538" t="s">
        <v>376</v>
      </c>
      <c r="F110" s="539"/>
      <c r="G110" s="260" t="s">
        <v>377</v>
      </c>
      <c r="H110" s="261">
        <f>H111+H112+H113</f>
        <v>5711.0120000000006</v>
      </c>
      <c r="I110" s="263">
        <f>I111+I112+I113</f>
        <v>2486.502</v>
      </c>
      <c r="J110" s="263">
        <f>J111+J112+J113</f>
        <v>3860.2250000000004</v>
      </c>
      <c r="K110" s="263">
        <f>K111+K112+K113</f>
        <v>4621.0120000000006</v>
      </c>
      <c r="L110" s="263">
        <f>L111+L112+L113</f>
        <v>5711.0120000000006</v>
      </c>
      <c r="M110" s="144"/>
      <c r="N110" s="144"/>
      <c r="O110" s="144"/>
      <c r="P110" s="144"/>
      <c r="Q110" s="144"/>
      <c r="R110" s="144"/>
      <c r="S110" s="144"/>
    </row>
    <row r="111" spans="2:24" ht="13.5" thickBot="1">
      <c r="B111" s="547"/>
      <c r="C111" s="543"/>
      <c r="D111" s="73"/>
      <c r="E111" s="536" t="s">
        <v>378</v>
      </c>
      <c r="F111" s="537"/>
      <c r="G111" s="73" t="s">
        <v>379</v>
      </c>
      <c r="H111" s="263">
        <f>(1845025+780000)/1000</f>
        <v>2625.0250000000001</v>
      </c>
      <c r="I111" s="263">
        <v>922.51499999999999</v>
      </c>
      <c r="J111" s="263">
        <v>1845.0250000000001</v>
      </c>
      <c r="K111" s="263">
        <v>2235.0250000000001</v>
      </c>
      <c r="L111" s="263">
        <v>2625.0250000000001</v>
      </c>
      <c r="M111" s="144"/>
      <c r="N111" s="144"/>
      <c r="O111" s="144"/>
      <c r="P111" s="144"/>
      <c r="Q111" s="144"/>
      <c r="R111" s="144"/>
      <c r="S111" s="144"/>
    </row>
    <row r="112" spans="2:24" ht="13.5" thickBot="1">
      <c r="B112" s="547"/>
      <c r="C112" s="543"/>
      <c r="D112" s="73"/>
      <c r="E112" s="536" t="s">
        <v>380</v>
      </c>
      <c r="F112" s="537"/>
      <c r="G112" s="73" t="s">
        <v>381</v>
      </c>
      <c r="H112" s="263">
        <f>(2522000+563987)/1000</f>
        <v>3085.9870000000001</v>
      </c>
      <c r="I112" s="263">
        <f>(563987+1000000)/1000</f>
        <v>1563.9870000000001</v>
      </c>
      <c r="J112" s="263">
        <v>2015.2</v>
      </c>
      <c r="K112" s="263">
        <v>2385.9870000000001</v>
      </c>
      <c r="L112" s="263">
        <v>3085.9870000000001</v>
      </c>
      <c r="M112" s="144"/>
      <c r="N112" s="144"/>
      <c r="O112" s="144"/>
      <c r="P112" s="144"/>
      <c r="Q112" s="144"/>
      <c r="R112" s="144"/>
      <c r="S112" s="144"/>
    </row>
    <row r="113" spans="2:24" ht="45.75" customHeight="1" thickBot="1">
      <c r="B113" s="547"/>
      <c r="C113" s="543"/>
      <c r="D113" s="73"/>
      <c r="E113" s="536" t="s">
        <v>382</v>
      </c>
      <c r="F113" s="537"/>
      <c r="G113" s="73" t="s">
        <v>383</v>
      </c>
      <c r="H113" s="263"/>
      <c r="I113" s="263">
        <v>0</v>
      </c>
      <c r="J113" s="263">
        <v>0</v>
      </c>
      <c r="K113" s="263">
        <v>0</v>
      </c>
      <c r="L113" s="263">
        <v>0</v>
      </c>
      <c r="M113" s="144"/>
      <c r="N113" s="144"/>
      <c r="O113" s="144"/>
      <c r="P113" s="144"/>
      <c r="Q113" s="144"/>
      <c r="R113" s="144"/>
      <c r="S113" s="144"/>
    </row>
    <row r="114" spans="2:24" ht="47.25" customHeight="1" thickBot="1">
      <c r="B114" s="547"/>
      <c r="C114" s="543"/>
      <c r="D114" s="73" t="s">
        <v>188</v>
      </c>
      <c r="E114" s="536" t="s">
        <v>214</v>
      </c>
      <c r="F114" s="537"/>
      <c r="G114" s="73" t="s">
        <v>384</v>
      </c>
      <c r="H114" s="261">
        <f>H115+H116+H117+H118</f>
        <v>690.6</v>
      </c>
      <c r="I114" s="263">
        <f>I115+I116+I117+I118</f>
        <v>172.65</v>
      </c>
      <c r="J114" s="263">
        <f>J115+J116+J117+J118</f>
        <v>345.3</v>
      </c>
      <c r="K114" s="263">
        <f>K115+K116+K117+K118</f>
        <v>517.95000000000005</v>
      </c>
      <c r="L114" s="263">
        <f>L115+L116+L117+L118</f>
        <v>690.6</v>
      </c>
      <c r="M114" s="144"/>
      <c r="N114" s="144"/>
      <c r="O114" s="144"/>
      <c r="P114" s="144"/>
      <c r="Q114" s="144"/>
      <c r="R114" s="144"/>
      <c r="S114" s="144"/>
    </row>
    <row r="115" spans="2:24" ht="13.5" thickBot="1">
      <c r="B115" s="547"/>
      <c r="C115" s="543"/>
      <c r="D115" s="542"/>
      <c r="E115" s="532" t="s">
        <v>519</v>
      </c>
      <c r="F115" s="533"/>
      <c r="G115" s="73" t="s">
        <v>385</v>
      </c>
      <c r="H115" s="263">
        <f>(10000*12+9850*3*12)/1000</f>
        <v>474.6</v>
      </c>
      <c r="I115" s="263">
        <v>118.65</v>
      </c>
      <c r="J115" s="263">
        <v>237.3</v>
      </c>
      <c r="K115" s="263">
        <v>355.95</v>
      </c>
      <c r="L115" s="263">
        <v>474.6</v>
      </c>
      <c r="M115" s="144"/>
      <c r="N115" s="144"/>
      <c r="O115" s="144"/>
      <c r="P115" s="144"/>
      <c r="Q115" s="144"/>
      <c r="R115" s="144"/>
      <c r="S115" s="144"/>
    </row>
    <row r="116" spans="2:24" ht="13.5" thickBot="1">
      <c r="B116" s="547"/>
      <c r="C116" s="543"/>
      <c r="D116" s="543"/>
      <c r="E116" s="525" t="s">
        <v>386</v>
      </c>
      <c r="F116" s="526"/>
      <c r="G116" s="73" t="s">
        <v>387</v>
      </c>
      <c r="H116" s="263">
        <v>216</v>
      </c>
      <c r="I116" s="263">
        <v>54</v>
      </c>
      <c r="J116" s="263">
        <v>108</v>
      </c>
      <c r="K116" s="263">
        <v>162</v>
      </c>
      <c r="L116" s="263">
        <v>216</v>
      </c>
      <c r="M116" s="144"/>
      <c r="N116" s="144"/>
      <c r="O116" s="144"/>
      <c r="P116" s="144"/>
      <c r="Q116" s="144"/>
      <c r="R116" s="144"/>
      <c r="S116" s="144"/>
    </row>
    <row r="117" spans="2:24" ht="13.5" thickBot="1">
      <c r="B117" s="547"/>
      <c r="C117" s="543"/>
      <c r="D117" s="544"/>
      <c r="E117" s="532" t="s">
        <v>388</v>
      </c>
      <c r="F117" s="533"/>
      <c r="G117" s="73" t="s">
        <v>389</v>
      </c>
      <c r="H117" s="263">
        <v>0</v>
      </c>
      <c r="I117" s="263"/>
      <c r="J117" s="263"/>
      <c r="K117" s="263"/>
      <c r="L117" s="263"/>
      <c r="M117" s="144"/>
      <c r="N117" s="144"/>
      <c r="O117" s="144"/>
      <c r="P117" s="144"/>
      <c r="Q117" s="144"/>
      <c r="R117" s="144"/>
      <c r="S117" s="144"/>
    </row>
    <row r="118" spans="2:24" ht="13.5" thickBot="1">
      <c r="B118" s="547"/>
      <c r="C118" s="543"/>
      <c r="D118" s="73"/>
      <c r="E118" s="525" t="s">
        <v>390</v>
      </c>
      <c r="F118" s="526"/>
      <c r="G118" s="73" t="s">
        <v>391</v>
      </c>
      <c r="H118" s="263">
        <v>0</v>
      </c>
      <c r="I118" s="263">
        <v>0</v>
      </c>
      <c r="J118" s="263"/>
      <c r="K118" s="263"/>
      <c r="L118" s="263"/>
      <c r="M118" s="144"/>
      <c r="N118" s="144"/>
      <c r="O118" s="144"/>
      <c r="P118" s="144"/>
      <c r="Q118" s="144"/>
      <c r="R118" s="144"/>
      <c r="S118" s="144"/>
    </row>
    <row r="119" spans="2:24" ht="60.75" customHeight="1" thickBot="1">
      <c r="B119" s="547"/>
      <c r="C119" s="543"/>
      <c r="D119" s="73" t="s">
        <v>198</v>
      </c>
      <c r="E119" s="525" t="s">
        <v>392</v>
      </c>
      <c r="F119" s="526"/>
      <c r="G119" s="73" t="s">
        <v>393</v>
      </c>
      <c r="H119" s="261">
        <f>H120+H121+H122+H123+H124+H125</f>
        <v>11455.863000000001</v>
      </c>
      <c r="I119" s="263">
        <f>I120+I121+I122+I123+I124+I125</f>
        <v>3186.0320000000002</v>
      </c>
      <c r="J119" s="263">
        <f>J120+J121+J122+J123+J124+J125</f>
        <v>6498.0159999999996</v>
      </c>
      <c r="K119" s="263">
        <f>K120+K121+K122+K123+K124+K125</f>
        <v>8854.7920000000013</v>
      </c>
      <c r="L119" s="263">
        <f>L120+L121+L122+L123+L124+L125</f>
        <v>11455.863000000001</v>
      </c>
      <c r="M119" s="144"/>
      <c r="N119" s="144"/>
      <c r="O119" s="144"/>
      <c r="P119" s="144"/>
      <c r="Q119" s="144"/>
      <c r="R119" s="144"/>
      <c r="S119" s="144"/>
      <c r="T119" s="243"/>
      <c r="U119" s="243"/>
      <c r="V119" s="243"/>
      <c r="W119" s="243"/>
      <c r="X119" s="243"/>
    </row>
    <row r="120" spans="2:24" ht="13.5" thickBot="1">
      <c r="B120" s="547"/>
      <c r="C120" s="543"/>
      <c r="D120" s="548"/>
      <c r="E120" s="540" t="s">
        <v>394</v>
      </c>
      <c r="F120" s="541"/>
      <c r="G120" s="73" t="s">
        <v>395</v>
      </c>
      <c r="H120" s="263">
        <v>8803.1090000000004</v>
      </c>
      <c r="I120" s="263">
        <v>2448.2649999999999</v>
      </c>
      <c r="J120" s="263">
        <v>4992.5479999999998</v>
      </c>
      <c r="K120" s="263">
        <v>6804.35</v>
      </c>
      <c r="L120" s="263">
        <v>8803.1090000000004</v>
      </c>
      <c r="M120" s="267">
        <v>0.21160999999999999</v>
      </c>
      <c r="N120" s="74"/>
      <c r="O120" s="144"/>
      <c r="P120" s="144"/>
      <c r="Q120" s="144"/>
      <c r="R120" s="144"/>
      <c r="S120" s="144"/>
      <c r="U120" s="243"/>
      <c r="V120" s="243"/>
      <c r="W120" s="243"/>
      <c r="X120" s="243"/>
    </row>
    <row r="121" spans="2:24" ht="13.5" thickBot="1">
      <c r="B121" s="547"/>
      <c r="C121" s="543"/>
      <c r="D121" s="549"/>
      <c r="E121" s="540" t="s">
        <v>396</v>
      </c>
      <c r="F121" s="541"/>
      <c r="G121" s="73" t="s">
        <v>397</v>
      </c>
      <c r="H121" s="263">
        <v>304.95800000000003</v>
      </c>
      <c r="I121" s="263">
        <v>84.813000000000002</v>
      </c>
      <c r="J121" s="263">
        <v>173.952</v>
      </c>
      <c r="K121" s="263">
        <v>235.71700000000001</v>
      </c>
      <c r="L121" s="263">
        <v>304.95800000000003</v>
      </c>
      <c r="M121" s="267">
        <v>5.0000000000000001E-3</v>
      </c>
      <c r="N121" s="144"/>
      <c r="O121" s="144"/>
      <c r="P121" s="144"/>
      <c r="Q121" s="144"/>
      <c r="R121" s="144"/>
      <c r="S121" s="144"/>
      <c r="U121" s="243"/>
    </row>
    <row r="122" spans="2:24" ht="13.5" thickBot="1">
      <c r="B122" s="547"/>
      <c r="C122" s="543"/>
      <c r="D122" s="549"/>
      <c r="E122" s="536" t="s">
        <v>398</v>
      </c>
      <c r="F122" s="537"/>
      <c r="G122" s="73" t="s">
        <v>399</v>
      </c>
      <c r="H122" s="263">
        <v>2114.373</v>
      </c>
      <c r="I122" s="263">
        <v>588.03599999999994</v>
      </c>
      <c r="J122" s="263">
        <v>1199.134</v>
      </c>
      <c r="K122" s="263">
        <v>1634.3009999999999</v>
      </c>
      <c r="L122" s="263">
        <v>2114.373</v>
      </c>
      <c r="M122" s="267">
        <f>5.2%</f>
        <v>5.2000000000000005E-2</v>
      </c>
      <c r="N122" s="144"/>
      <c r="O122" s="144"/>
      <c r="P122" s="144"/>
      <c r="Q122" s="144"/>
      <c r="R122" s="144"/>
      <c r="S122" s="144"/>
      <c r="U122" s="243"/>
    </row>
    <row r="123" spans="2:24" ht="13.5" thickBot="1">
      <c r="B123" s="547"/>
      <c r="C123" s="543"/>
      <c r="D123" s="549"/>
      <c r="E123" s="536" t="s">
        <v>400</v>
      </c>
      <c r="F123" s="537"/>
      <c r="G123" s="73" t="s">
        <v>401</v>
      </c>
      <c r="H123" s="263">
        <v>233.423</v>
      </c>
      <c r="I123" s="263">
        <v>64.918000000000006</v>
      </c>
      <c r="J123" s="263">
        <v>132.38200000000001</v>
      </c>
      <c r="K123" s="263">
        <v>180.42400000000001</v>
      </c>
      <c r="L123" s="263">
        <v>233.423</v>
      </c>
      <c r="M123" s="267">
        <f>(0.279+0.85+0.25)/100</f>
        <v>1.379E-2</v>
      </c>
      <c r="N123" s="74"/>
      <c r="O123" s="144"/>
      <c r="P123" s="144"/>
      <c r="Q123" s="144"/>
      <c r="R123" s="144"/>
      <c r="S123" s="144"/>
      <c r="U123" s="243"/>
    </row>
    <row r="124" spans="2:24" ht="13.5" thickBot="1">
      <c r="B124" s="547"/>
      <c r="C124" s="543"/>
      <c r="D124" s="549"/>
      <c r="E124" s="540" t="s">
        <v>402</v>
      </c>
      <c r="F124" s="541"/>
      <c r="G124" s="73" t="s">
        <v>403</v>
      </c>
      <c r="H124" s="263">
        <v>0</v>
      </c>
      <c r="I124" s="263"/>
      <c r="J124" s="263"/>
      <c r="K124" s="263"/>
      <c r="L124" s="263"/>
      <c r="M124" s="144">
        <v>0</v>
      </c>
      <c r="N124" s="144"/>
      <c r="O124" s="144"/>
      <c r="P124" s="144"/>
      <c r="Q124" s="144"/>
      <c r="R124" s="144"/>
      <c r="S124" s="144"/>
    </row>
    <row r="125" spans="2:24" ht="13.5" thickBot="1">
      <c r="B125" s="547"/>
      <c r="C125" s="543"/>
      <c r="D125" s="550"/>
      <c r="E125" s="540" t="s">
        <v>404</v>
      </c>
      <c r="F125" s="541"/>
      <c r="G125" s="73" t="s">
        <v>405</v>
      </c>
      <c r="H125" s="263">
        <v>0</v>
      </c>
      <c r="I125" s="263"/>
      <c r="J125" s="263"/>
      <c r="K125" s="263"/>
      <c r="L125" s="263"/>
      <c r="M125" s="144"/>
      <c r="N125" s="144"/>
      <c r="O125" s="144"/>
      <c r="P125" s="144"/>
      <c r="Q125" s="144"/>
      <c r="R125" s="144"/>
      <c r="S125" s="144"/>
    </row>
    <row r="126" spans="2:24" ht="49.5" customHeight="1" thickBot="1">
      <c r="B126" s="547"/>
      <c r="C126" s="543"/>
      <c r="D126" s="536" t="s">
        <v>406</v>
      </c>
      <c r="E126" s="545"/>
      <c r="F126" s="537"/>
      <c r="G126" s="73" t="s">
        <v>407</v>
      </c>
      <c r="H126" s="261">
        <f>H127+H130+H131+H132+H133+H134</f>
        <v>17926.756000000001</v>
      </c>
      <c r="I126" s="263">
        <f>I127+I130+I131+I132+I133+I134</f>
        <v>9810.8780000000006</v>
      </c>
      <c r="J126" s="263">
        <f>J127+J130+J131+J132+J133+J134</f>
        <v>13043.078000000001</v>
      </c>
      <c r="K126" s="263">
        <f>K127+K130+K131+K132+K133+K134</f>
        <v>16080.117</v>
      </c>
      <c r="L126" s="263">
        <f>L127+L130+L131+L132+L133+L134</f>
        <v>17926.756000000001</v>
      </c>
      <c r="M126" s="144"/>
      <c r="N126" s="144"/>
      <c r="O126" s="144"/>
      <c r="P126" s="144"/>
      <c r="Q126" s="144"/>
      <c r="R126" s="144"/>
      <c r="S126" s="144"/>
    </row>
    <row r="127" spans="2:24" ht="13.5" thickBot="1">
      <c r="B127" s="547"/>
      <c r="C127" s="543"/>
      <c r="D127" s="105" t="s">
        <v>93</v>
      </c>
      <c r="E127" s="536" t="s">
        <v>408</v>
      </c>
      <c r="F127" s="537"/>
      <c r="G127" s="73" t="s">
        <v>409</v>
      </c>
      <c r="H127" s="263"/>
      <c r="I127" s="263">
        <f>SUM(I128:I129)</f>
        <v>0</v>
      </c>
      <c r="J127" s="263">
        <f>SUM(J128:J129)</f>
        <v>0</v>
      </c>
      <c r="K127" s="263">
        <f>SUM(K128:K129)</f>
        <v>0</v>
      </c>
      <c r="L127" s="263">
        <f>SUM(L128:L129)</f>
        <v>0</v>
      </c>
      <c r="M127" s="144"/>
      <c r="N127" s="144"/>
      <c r="O127" s="144"/>
      <c r="P127" s="144"/>
      <c r="Q127" s="144"/>
      <c r="R127" s="144"/>
      <c r="S127" s="144"/>
    </row>
    <row r="128" spans="2:24" ht="13.5" thickBot="1">
      <c r="B128" s="547"/>
      <c r="C128" s="543"/>
      <c r="D128" s="105"/>
      <c r="E128" s="540" t="s">
        <v>410</v>
      </c>
      <c r="F128" s="541"/>
      <c r="G128" s="73" t="s">
        <v>411</v>
      </c>
      <c r="H128" s="263"/>
      <c r="I128" s="263"/>
      <c r="J128" s="263"/>
      <c r="K128" s="263"/>
      <c r="L128" s="263"/>
      <c r="M128" s="144"/>
      <c r="N128" s="144"/>
      <c r="O128" s="144"/>
      <c r="P128" s="144"/>
      <c r="Q128" s="144"/>
      <c r="R128" s="144"/>
      <c r="S128" s="144"/>
    </row>
    <row r="129" spans="2:19" ht="13.5" thickBot="1">
      <c r="B129" s="547"/>
      <c r="C129" s="543"/>
      <c r="D129" s="105"/>
      <c r="E129" s="540" t="s">
        <v>412</v>
      </c>
      <c r="F129" s="541"/>
      <c r="G129" s="73" t="s">
        <v>413</v>
      </c>
      <c r="H129" s="263"/>
      <c r="I129" s="263"/>
      <c r="J129" s="263"/>
      <c r="K129" s="263"/>
      <c r="L129" s="263"/>
      <c r="M129" s="144"/>
      <c r="N129" s="144"/>
      <c r="O129" s="144"/>
      <c r="P129" s="144"/>
      <c r="Q129" s="144"/>
      <c r="R129" s="144"/>
      <c r="S129" s="144"/>
    </row>
    <row r="130" spans="2:19" ht="13.5" thickBot="1">
      <c r="B130" s="547"/>
      <c r="C130" s="543"/>
      <c r="D130" s="105" t="s">
        <v>149</v>
      </c>
      <c r="E130" s="540" t="s">
        <v>414</v>
      </c>
      <c r="F130" s="541"/>
      <c r="G130" s="73" t="s">
        <v>415</v>
      </c>
      <c r="H130" s="263"/>
      <c r="I130" s="263"/>
      <c r="J130" s="263"/>
      <c r="K130" s="263"/>
      <c r="L130" s="263"/>
      <c r="M130" s="144"/>
      <c r="N130" s="144"/>
      <c r="O130" s="144"/>
      <c r="P130" s="144"/>
      <c r="Q130" s="144"/>
      <c r="R130" s="144"/>
      <c r="S130" s="144"/>
    </row>
    <row r="131" spans="2:19" ht="13.5" thickBot="1">
      <c r="B131" s="542"/>
      <c r="C131" s="542"/>
      <c r="D131" s="105" t="s">
        <v>152</v>
      </c>
      <c r="E131" s="536" t="s">
        <v>527</v>
      </c>
      <c r="F131" s="537"/>
      <c r="G131" s="73" t="s">
        <v>528</v>
      </c>
      <c r="H131" s="263">
        <v>0</v>
      </c>
      <c r="I131" s="263"/>
      <c r="J131" s="263"/>
      <c r="K131" s="263"/>
      <c r="L131" s="263"/>
      <c r="M131" s="144"/>
      <c r="N131" s="144"/>
      <c r="O131" s="144"/>
      <c r="P131" s="144"/>
      <c r="Q131" s="144"/>
      <c r="R131" s="144"/>
      <c r="S131" s="144"/>
    </row>
    <row r="132" spans="2:19" ht="13.5" thickBot="1">
      <c r="B132" s="543"/>
      <c r="C132" s="543"/>
      <c r="D132" s="105" t="s">
        <v>155</v>
      </c>
      <c r="E132" s="540" t="s">
        <v>296</v>
      </c>
      <c r="F132" s="541"/>
      <c r="G132" s="73" t="s">
        <v>529</v>
      </c>
      <c r="H132" s="263">
        <v>6263.6</v>
      </c>
      <c r="I132" s="263">
        <v>6115.25</v>
      </c>
      <c r="J132" s="263">
        <v>6130.5</v>
      </c>
      <c r="K132" s="263">
        <v>6211.25</v>
      </c>
      <c r="L132" s="263">
        <v>6263.6</v>
      </c>
      <c r="M132" s="144"/>
      <c r="N132" s="144"/>
      <c r="O132" s="144"/>
      <c r="P132" s="144"/>
      <c r="Q132" s="144"/>
      <c r="R132" s="144"/>
      <c r="S132" s="144"/>
    </row>
    <row r="133" spans="2:19" ht="13.5" thickBot="1">
      <c r="B133" s="543"/>
      <c r="C133" s="543"/>
      <c r="D133" s="105" t="s">
        <v>94</v>
      </c>
      <c r="E133" s="536" t="s">
        <v>530</v>
      </c>
      <c r="F133" s="537"/>
      <c r="G133" s="73" t="s">
        <v>531</v>
      </c>
      <c r="H133" s="263">
        <v>11663.156000000001</v>
      </c>
      <c r="I133" s="263">
        <v>3695.6280000000002</v>
      </c>
      <c r="J133" s="263">
        <v>6912.5780000000004</v>
      </c>
      <c r="K133" s="263">
        <v>9868.8670000000002</v>
      </c>
      <c r="L133" s="263">
        <v>11663.156000000001</v>
      </c>
      <c r="M133" s="144"/>
      <c r="N133" s="144"/>
      <c r="O133" s="144"/>
      <c r="P133" s="144"/>
      <c r="Q133" s="144"/>
      <c r="R133" s="144"/>
      <c r="S133" s="144"/>
    </row>
    <row r="134" spans="2:19" ht="36" customHeight="1" thickBot="1">
      <c r="B134" s="543"/>
      <c r="C134" s="544"/>
      <c r="D134" s="105" t="s">
        <v>105</v>
      </c>
      <c r="E134" s="536" t="s">
        <v>646</v>
      </c>
      <c r="F134" s="537"/>
      <c r="G134" s="73" t="s">
        <v>533</v>
      </c>
      <c r="H134" s="263">
        <v>0</v>
      </c>
      <c r="I134" s="263">
        <f>I135-I136</f>
        <v>0</v>
      </c>
      <c r="J134" s="263">
        <f>J135-J136</f>
        <v>0</v>
      </c>
      <c r="K134" s="263">
        <f>K135-K136</f>
        <v>0</v>
      </c>
      <c r="L134" s="263">
        <f>L135-L136</f>
        <v>0</v>
      </c>
      <c r="M134" s="144"/>
      <c r="N134" s="144"/>
      <c r="O134" s="144"/>
      <c r="P134" s="144"/>
      <c r="Q134" s="144"/>
      <c r="R134" s="144"/>
      <c r="S134" s="144"/>
    </row>
    <row r="135" spans="2:19" ht="13.5" thickBot="1">
      <c r="B135" s="543"/>
      <c r="C135" s="73"/>
      <c r="D135" s="73"/>
      <c r="E135" s="73" t="s">
        <v>174</v>
      </c>
      <c r="F135" s="105" t="s">
        <v>534</v>
      </c>
      <c r="G135" s="73" t="s">
        <v>535</v>
      </c>
      <c r="H135" s="263">
        <v>0</v>
      </c>
      <c r="I135" s="263"/>
      <c r="J135" s="263"/>
      <c r="K135" s="263"/>
      <c r="L135" s="263"/>
      <c r="M135" s="144"/>
      <c r="N135" s="144"/>
      <c r="O135" s="144"/>
      <c r="P135" s="144"/>
      <c r="Q135" s="144"/>
      <c r="R135" s="144"/>
      <c r="S135" s="144"/>
    </row>
    <row r="136" spans="2:19" ht="34.5" customHeight="1" thickBot="1">
      <c r="B136" s="543"/>
      <c r="C136" s="73"/>
      <c r="D136" s="73"/>
      <c r="E136" s="268" t="s">
        <v>175</v>
      </c>
      <c r="F136" s="106" t="s">
        <v>647</v>
      </c>
      <c r="G136" s="73" t="s">
        <v>537</v>
      </c>
      <c r="H136" s="263">
        <v>0</v>
      </c>
      <c r="I136" s="263">
        <f>I137</f>
        <v>0</v>
      </c>
      <c r="J136" s="263">
        <f>J137</f>
        <v>0</v>
      </c>
      <c r="K136" s="263">
        <f>K137</f>
        <v>0</v>
      </c>
      <c r="L136" s="263">
        <f>L137</f>
        <v>0</v>
      </c>
      <c r="M136" s="144"/>
      <c r="N136" s="144"/>
      <c r="O136" s="144"/>
      <c r="P136" s="144"/>
      <c r="Q136" s="144"/>
      <c r="R136" s="144"/>
      <c r="S136" s="144"/>
    </row>
    <row r="137" spans="2:19" ht="26.25" thickBot="1">
      <c r="B137" s="543"/>
      <c r="C137" s="73"/>
      <c r="D137" s="73"/>
      <c r="E137" s="268" t="s">
        <v>190</v>
      </c>
      <c r="F137" s="106" t="s">
        <v>648</v>
      </c>
      <c r="G137" s="73" t="s">
        <v>539</v>
      </c>
      <c r="H137" s="263">
        <v>0</v>
      </c>
      <c r="I137" s="263">
        <f>I138+I139+I140</f>
        <v>0</v>
      </c>
      <c r="J137" s="263">
        <f>J138+J139+J140</f>
        <v>0</v>
      </c>
      <c r="K137" s="263">
        <f>K138+K139+K140</f>
        <v>0</v>
      </c>
      <c r="L137" s="263">
        <f>L138+L139+L140</f>
        <v>0</v>
      </c>
      <c r="M137" s="144"/>
      <c r="N137" s="144"/>
      <c r="O137" s="144"/>
      <c r="P137" s="144"/>
      <c r="Q137" s="144"/>
      <c r="R137" s="144"/>
      <c r="S137" s="144"/>
    </row>
    <row r="138" spans="2:19" ht="13.5" thickBot="1">
      <c r="B138" s="543"/>
      <c r="C138" s="73"/>
      <c r="D138" s="73"/>
      <c r="E138" s="73"/>
      <c r="F138" s="105" t="s">
        <v>649</v>
      </c>
      <c r="G138" s="73" t="s">
        <v>541</v>
      </c>
      <c r="H138" s="263">
        <v>0</v>
      </c>
      <c r="I138" s="263"/>
      <c r="J138" s="263"/>
      <c r="K138" s="263"/>
      <c r="L138" s="263"/>
      <c r="M138" s="144"/>
      <c r="N138" s="144"/>
      <c r="O138" s="144"/>
      <c r="P138" s="144"/>
      <c r="Q138" s="144"/>
      <c r="R138" s="144"/>
      <c r="S138" s="144"/>
    </row>
    <row r="139" spans="2:19" ht="26.25" thickBot="1">
      <c r="B139" s="543"/>
      <c r="C139" s="73"/>
      <c r="D139" s="73"/>
      <c r="E139" s="73"/>
      <c r="F139" s="106" t="s">
        <v>650</v>
      </c>
      <c r="G139" s="73">
        <v>129</v>
      </c>
      <c r="H139" s="263">
        <v>0</v>
      </c>
      <c r="I139" s="263"/>
      <c r="J139" s="263"/>
      <c r="K139" s="263"/>
      <c r="L139" s="263"/>
      <c r="M139" s="144"/>
      <c r="N139" s="144"/>
      <c r="O139" s="144"/>
      <c r="P139" s="144"/>
      <c r="Q139" s="144"/>
      <c r="R139" s="144"/>
      <c r="S139" s="144"/>
    </row>
    <row r="140" spans="2:19" ht="13.5" thickBot="1">
      <c r="B140" s="543"/>
      <c r="C140" s="73"/>
      <c r="D140" s="73"/>
      <c r="E140" s="73"/>
      <c r="F140" s="105" t="s">
        <v>651</v>
      </c>
      <c r="G140" s="73" t="s">
        <v>545</v>
      </c>
      <c r="H140" s="263">
        <v>0</v>
      </c>
      <c r="I140" s="263"/>
      <c r="J140" s="263"/>
      <c r="K140" s="263"/>
      <c r="L140" s="263"/>
      <c r="M140" s="144"/>
      <c r="N140" s="144"/>
      <c r="O140" s="144"/>
      <c r="P140" s="144"/>
      <c r="Q140" s="144"/>
      <c r="R140" s="144"/>
      <c r="S140" s="144"/>
    </row>
    <row r="141" spans="2:19" ht="36" customHeight="1" thickBot="1">
      <c r="B141" s="543"/>
      <c r="C141" s="73" t="s">
        <v>71</v>
      </c>
      <c r="D141" s="73"/>
      <c r="E141" s="538" t="s">
        <v>652</v>
      </c>
      <c r="F141" s="539"/>
      <c r="G141" s="260" t="s">
        <v>547</v>
      </c>
      <c r="H141" s="261">
        <f>H142+H145+H148</f>
        <v>5890.8850000000002</v>
      </c>
      <c r="I141" s="261">
        <f>I142+I145+I148</f>
        <v>1468.7150000000001</v>
      </c>
      <c r="J141" s="261">
        <f>J142+J145+J148</f>
        <v>2866</v>
      </c>
      <c r="K141" s="261">
        <f>K142+K145+K148</f>
        <v>4313.45</v>
      </c>
      <c r="L141" s="261">
        <f>L142+L145+L148</f>
        <v>5890.8850000000002</v>
      </c>
      <c r="M141" s="144"/>
      <c r="N141" s="144"/>
      <c r="O141" s="144"/>
      <c r="P141" s="144"/>
      <c r="Q141" s="144"/>
      <c r="R141" s="144"/>
      <c r="S141" s="144"/>
    </row>
    <row r="142" spans="2:19" ht="13.5" thickBot="1">
      <c r="B142" s="543"/>
      <c r="C142" s="542"/>
      <c r="D142" s="73" t="s">
        <v>93</v>
      </c>
      <c r="E142" s="532" t="s">
        <v>548</v>
      </c>
      <c r="F142" s="533"/>
      <c r="G142" s="73" t="s">
        <v>549</v>
      </c>
      <c r="H142" s="263">
        <f>H143+H144</f>
        <v>5890.8850000000002</v>
      </c>
      <c r="I142" s="263">
        <f>I143+I144</f>
        <v>1468.7150000000001</v>
      </c>
      <c r="J142" s="263">
        <f>J143+J144</f>
        <v>2866</v>
      </c>
      <c r="K142" s="263">
        <f>K143+K144</f>
        <v>4313.45</v>
      </c>
      <c r="L142" s="263">
        <f>L143+L144</f>
        <v>5890.8850000000002</v>
      </c>
      <c r="M142" s="144"/>
      <c r="N142" s="144"/>
      <c r="O142" s="144"/>
      <c r="P142" s="144"/>
      <c r="Q142" s="144"/>
      <c r="R142" s="144"/>
      <c r="S142" s="144"/>
    </row>
    <row r="143" spans="2:19" ht="13.5" thickBot="1">
      <c r="B143" s="543"/>
      <c r="C143" s="543"/>
      <c r="D143" s="73"/>
      <c r="E143" s="73" t="s">
        <v>454</v>
      </c>
      <c r="F143" s="105" t="s">
        <v>550</v>
      </c>
      <c r="G143" s="73" t="s">
        <v>551</v>
      </c>
      <c r="H143" s="263">
        <v>2589</v>
      </c>
      <c r="I143" s="263">
        <v>648</v>
      </c>
      <c r="J143" s="263">
        <v>1215</v>
      </c>
      <c r="K143" s="263">
        <v>1842.5</v>
      </c>
      <c r="L143" s="263">
        <v>2589</v>
      </c>
      <c r="M143" s="144"/>
      <c r="N143" s="144"/>
      <c r="O143" s="144"/>
      <c r="P143" s="144"/>
      <c r="Q143" s="144"/>
      <c r="R143" s="144"/>
      <c r="S143" s="144"/>
    </row>
    <row r="144" spans="2:19" ht="13.5" thickBot="1">
      <c r="B144" s="543"/>
      <c r="C144" s="543"/>
      <c r="D144" s="73"/>
      <c r="E144" s="73" t="s">
        <v>191</v>
      </c>
      <c r="F144" s="105" t="s">
        <v>653</v>
      </c>
      <c r="G144" s="73" t="s">
        <v>553</v>
      </c>
      <c r="H144" s="263">
        <v>3301.8850000000002</v>
      </c>
      <c r="I144" s="263">
        <v>820.71500000000003</v>
      </c>
      <c r="J144" s="263">
        <v>1651</v>
      </c>
      <c r="K144" s="263">
        <v>2470.9499999999998</v>
      </c>
      <c r="L144" s="263">
        <v>3301.8850000000002</v>
      </c>
      <c r="M144" s="144"/>
      <c r="N144" s="144"/>
      <c r="O144" s="144"/>
      <c r="P144" s="144"/>
      <c r="Q144" s="144"/>
      <c r="R144" s="144"/>
      <c r="S144" s="144"/>
    </row>
    <row r="145" spans="2:20" ht="35.25" customHeight="1" thickBot="1">
      <c r="B145" s="543"/>
      <c r="C145" s="543"/>
      <c r="D145" s="73" t="s">
        <v>149</v>
      </c>
      <c r="E145" s="525" t="s">
        <v>654</v>
      </c>
      <c r="F145" s="526"/>
      <c r="G145" s="73" t="s">
        <v>555</v>
      </c>
      <c r="H145" s="263"/>
      <c r="I145" s="263">
        <f>I146+I147</f>
        <v>0</v>
      </c>
      <c r="J145" s="263">
        <f>J146+J147</f>
        <v>0</v>
      </c>
      <c r="K145" s="263">
        <f>K146+K147</f>
        <v>0</v>
      </c>
      <c r="L145" s="263">
        <f>L146+L147</f>
        <v>0</v>
      </c>
      <c r="M145" s="144">
        <v>700</v>
      </c>
      <c r="N145" s="144"/>
      <c r="O145" s="144"/>
      <c r="P145" s="144"/>
      <c r="Q145" s="144"/>
      <c r="R145" s="144"/>
      <c r="S145" s="144"/>
    </row>
    <row r="146" spans="2:20" ht="13.5" thickBot="1">
      <c r="B146" s="543"/>
      <c r="C146" s="543"/>
      <c r="D146" s="73"/>
      <c r="E146" s="73" t="s">
        <v>215</v>
      </c>
      <c r="F146" s="105" t="s">
        <v>550</v>
      </c>
      <c r="G146" s="73" t="s">
        <v>556</v>
      </c>
      <c r="H146" s="263"/>
      <c r="I146" s="263"/>
      <c r="J146" s="263"/>
      <c r="K146" s="263"/>
      <c r="L146" s="263"/>
      <c r="M146" s="144"/>
      <c r="N146" s="144"/>
      <c r="O146" s="144"/>
      <c r="P146" s="144"/>
      <c r="Q146" s="144"/>
      <c r="R146" s="144"/>
      <c r="S146" s="144"/>
    </row>
    <row r="147" spans="2:20" ht="13.5" thickBot="1">
      <c r="B147" s="543"/>
      <c r="C147" s="543"/>
      <c r="D147" s="73"/>
      <c r="E147" s="73" t="s">
        <v>239</v>
      </c>
      <c r="F147" s="105" t="s">
        <v>552</v>
      </c>
      <c r="G147" s="73" t="s">
        <v>557</v>
      </c>
      <c r="H147" s="263"/>
      <c r="I147" s="263"/>
      <c r="J147" s="263"/>
      <c r="K147" s="263"/>
      <c r="L147" s="263"/>
      <c r="M147" s="144"/>
      <c r="N147" s="144"/>
      <c r="O147" s="144"/>
      <c r="P147" s="144"/>
      <c r="Q147" s="144"/>
      <c r="R147" s="144"/>
      <c r="S147" s="144"/>
    </row>
    <row r="148" spans="2:20" ht="13.5" thickBot="1">
      <c r="B148" s="543"/>
      <c r="C148" s="544"/>
      <c r="D148" s="73" t="s">
        <v>152</v>
      </c>
      <c r="E148" s="540" t="s">
        <v>558</v>
      </c>
      <c r="F148" s="541"/>
      <c r="G148" s="73" t="s">
        <v>559</v>
      </c>
      <c r="H148" s="263"/>
      <c r="I148" s="263"/>
      <c r="J148" s="263"/>
      <c r="K148" s="263"/>
      <c r="L148" s="263"/>
      <c r="M148" s="144"/>
      <c r="N148" s="144"/>
      <c r="O148" s="144"/>
      <c r="P148" s="144"/>
      <c r="Q148" s="144"/>
      <c r="R148" s="144"/>
      <c r="S148" s="144"/>
    </row>
    <row r="149" spans="2:20" ht="13.5" thickBot="1">
      <c r="B149" s="544"/>
      <c r="C149" s="73" t="s">
        <v>65</v>
      </c>
      <c r="D149" s="260"/>
      <c r="E149" s="534" t="s">
        <v>273</v>
      </c>
      <c r="F149" s="535"/>
      <c r="G149" s="260" t="s">
        <v>560</v>
      </c>
      <c r="H149" s="261"/>
      <c r="I149" s="261"/>
      <c r="J149" s="261"/>
      <c r="K149" s="261"/>
      <c r="L149" s="261"/>
      <c r="M149" s="144"/>
      <c r="N149" s="144"/>
      <c r="O149" s="144"/>
      <c r="P149" s="144"/>
      <c r="Q149" s="144"/>
      <c r="R149" s="144"/>
      <c r="S149" s="144"/>
    </row>
    <row r="150" spans="2:20" s="47" customFormat="1" ht="13.5" thickBot="1">
      <c r="B150" s="260" t="s">
        <v>274</v>
      </c>
      <c r="C150" s="260"/>
      <c r="D150" s="260"/>
      <c r="E150" s="534" t="s">
        <v>561</v>
      </c>
      <c r="F150" s="535"/>
      <c r="G150" s="260" t="s">
        <v>562</v>
      </c>
      <c r="H150" s="261">
        <f>H11-H40</f>
        <v>49.067000000010012</v>
      </c>
      <c r="I150" s="261">
        <f>I11-I40</f>
        <v>11399.091</v>
      </c>
      <c r="J150" s="261">
        <f>J11-J40</f>
        <v>-7086.0759999999864</v>
      </c>
      <c r="K150" s="261">
        <f>K11-K40</f>
        <v>-23653.652000000002</v>
      </c>
      <c r="L150" s="261">
        <f>L11-L40</f>
        <v>49.067000000010012</v>
      </c>
      <c r="M150" s="262"/>
      <c r="N150" s="262"/>
      <c r="O150" s="262"/>
      <c r="P150" s="262"/>
      <c r="Q150" s="262"/>
      <c r="R150" s="262"/>
      <c r="S150" s="262"/>
      <c r="T150" s="259"/>
    </row>
    <row r="151" spans="2:20" ht="13.5" thickBot="1">
      <c r="B151" s="73"/>
      <c r="C151" s="73"/>
      <c r="D151" s="73"/>
      <c r="E151" s="532" t="s">
        <v>655</v>
      </c>
      <c r="F151" s="533"/>
      <c r="G151" s="73" t="s">
        <v>564</v>
      </c>
      <c r="H151" s="263"/>
      <c r="I151" s="263"/>
      <c r="J151" s="263"/>
      <c r="K151" s="263"/>
      <c r="L151" s="263"/>
      <c r="M151" s="144"/>
      <c r="N151" s="144"/>
      <c r="O151" s="144"/>
      <c r="P151" s="144"/>
      <c r="Q151" s="144"/>
      <c r="R151" s="144"/>
      <c r="S151" s="144"/>
    </row>
    <row r="152" spans="2:20" s="47" customFormat="1" ht="13.5" thickBot="1">
      <c r="B152" s="260" t="s">
        <v>276</v>
      </c>
      <c r="C152" s="260"/>
      <c r="D152" s="260"/>
      <c r="E152" s="534" t="s">
        <v>277</v>
      </c>
      <c r="F152" s="535"/>
      <c r="G152" s="260" t="s">
        <v>565</v>
      </c>
      <c r="H152" s="159"/>
      <c r="I152" s="159"/>
      <c r="J152" s="159"/>
      <c r="K152" s="159"/>
      <c r="L152" s="159"/>
      <c r="M152" s="262"/>
      <c r="N152" s="262"/>
      <c r="O152" s="262"/>
      <c r="P152" s="262"/>
      <c r="Q152" s="262"/>
      <c r="R152" s="262"/>
      <c r="S152" s="262"/>
    </row>
    <row r="153" spans="2:20" s="47" customFormat="1">
      <c r="B153" s="77"/>
      <c r="C153" s="77"/>
      <c r="D153" s="77"/>
      <c r="E153" s="77"/>
      <c r="F153" s="77"/>
      <c r="G153" s="77"/>
      <c r="H153" s="277"/>
      <c r="I153" s="277"/>
      <c r="J153" s="277"/>
      <c r="K153" s="277"/>
      <c r="L153" s="277"/>
      <c r="M153" s="262"/>
      <c r="N153" s="262"/>
      <c r="O153" s="262"/>
      <c r="P153" s="262"/>
      <c r="Q153" s="262"/>
      <c r="R153" s="262"/>
      <c r="S153" s="262"/>
    </row>
    <row r="154" spans="2:20" s="47" customFormat="1">
      <c r="B154" s="77"/>
      <c r="C154" s="77"/>
      <c r="D154" s="77"/>
      <c r="E154" s="77"/>
      <c r="F154" s="77"/>
      <c r="G154" s="77"/>
      <c r="H154" s="277"/>
      <c r="I154" s="277"/>
      <c r="J154" s="277"/>
      <c r="K154" s="277"/>
      <c r="L154" s="277"/>
      <c r="M154" s="262"/>
      <c r="N154" s="262"/>
      <c r="O154" s="262"/>
      <c r="P154" s="262"/>
      <c r="Q154" s="262"/>
      <c r="R154" s="262"/>
      <c r="S154" s="262"/>
    </row>
    <row r="155" spans="2:20" s="47" customFormat="1">
      <c r="B155" s="77"/>
      <c r="C155" s="77"/>
      <c r="D155" s="77"/>
      <c r="E155" s="77"/>
      <c r="F155" s="77"/>
      <c r="G155" s="77"/>
      <c r="H155" s="277"/>
      <c r="I155" s="277"/>
      <c r="J155" s="277"/>
      <c r="K155" s="277"/>
      <c r="L155" s="277"/>
      <c r="M155" s="262"/>
      <c r="N155" s="262"/>
      <c r="O155" s="262"/>
      <c r="P155" s="262"/>
      <c r="Q155" s="262"/>
      <c r="R155" s="262"/>
      <c r="S155" s="262"/>
    </row>
    <row r="156" spans="2:20">
      <c r="C156" s="144"/>
      <c r="D156" s="144"/>
      <c r="E156" s="144"/>
      <c r="F156" s="269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</row>
    <row r="157" spans="2:20">
      <c r="C157" s="144"/>
      <c r="D157" s="144"/>
      <c r="E157" s="144"/>
      <c r="F157" s="269" t="s">
        <v>771</v>
      </c>
      <c r="G157" s="144"/>
      <c r="H157" s="144"/>
      <c r="I157" s="144" t="s">
        <v>770</v>
      </c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</row>
    <row r="158" spans="2:20">
      <c r="C158" s="144"/>
      <c r="D158" s="144"/>
      <c r="E158" s="144"/>
      <c r="F158" s="269" t="s">
        <v>772</v>
      </c>
      <c r="G158" s="144"/>
      <c r="H158" s="144"/>
      <c r="I158" s="144" t="s">
        <v>773</v>
      </c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</row>
    <row r="159" spans="2:20" ht="13.5" hidden="1" thickBot="1">
      <c r="C159" s="144"/>
      <c r="D159" s="270"/>
      <c r="E159" s="271"/>
      <c r="F159" s="272" t="s">
        <v>430</v>
      </c>
      <c r="G159" s="73"/>
      <c r="H159" s="73">
        <f>SUM(I159:L159)</f>
        <v>91587.913</v>
      </c>
      <c r="I159" s="73">
        <f>I114+I98</f>
        <v>9013.9459999999999</v>
      </c>
      <c r="J159" s="73">
        <f>J114+J98</f>
        <v>19591.712</v>
      </c>
      <c r="K159" s="73">
        <f>K114+K98</f>
        <v>27341.655000000002</v>
      </c>
      <c r="L159" s="73">
        <f>L114+L98</f>
        <v>35640.6</v>
      </c>
      <c r="M159" s="144"/>
      <c r="N159" s="144"/>
      <c r="O159" s="144"/>
      <c r="P159" s="144"/>
      <c r="Q159" s="144"/>
      <c r="R159" s="144"/>
      <c r="S159" s="144"/>
    </row>
    <row r="160" spans="2:20">
      <c r="C160" s="144"/>
      <c r="D160" s="144"/>
      <c r="E160" s="144"/>
      <c r="F160" s="269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</row>
    <row r="161" spans="3:19">
      <c r="C161" s="144"/>
      <c r="D161" s="144"/>
      <c r="E161" s="144"/>
      <c r="F161" s="144"/>
      <c r="G161" s="144"/>
      <c r="H161" s="144"/>
      <c r="I161" s="144"/>
      <c r="J161" s="273"/>
      <c r="K161" s="144"/>
      <c r="L161" s="144"/>
      <c r="M161" s="274"/>
      <c r="N161" s="144"/>
      <c r="O161" s="144"/>
      <c r="P161" s="144"/>
      <c r="Q161" s="144"/>
      <c r="R161" s="144"/>
      <c r="S161" s="144"/>
    </row>
    <row r="162" spans="3:19">
      <c r="C162" s="144"/>
      <c r="D162" s="144"/>
      <c r="E162" s="144"/>
      <c r="F162" s="144"/>
      <c r="G162" s="144"/>
      <c r="H162" s="144"/>
      <c r="I162" s="144"/>
      <c r="J162" s="273"/>
      <c r="K162" s="144"/>
      <c r="L162" s="144"/>
      <c r="M162" s="274"/>
      <c r="N162" s="144"/>
      <c r="O162" s="144"/>
      <c r="P162" s="144"/>
      <c r="Q162" s="144"/>
      <c r="R162" s="144"/>
      <c r="S162" s="144"/>
    </row>
    <row r="163" spans="3:19">
      <c r="C163" s="144"/>
      <c r="D163" s="144"/>
      <c r="E163" s="144"/>
      <c r="F163" s="144"/>
      <c r="G163" s="144"/>
      <c r="H163" s="144"/>
      <c r="I163" s="144"/>
      <c r="J163" s="273"/>
      <c r="K163" s="144"/>
      <c r="L163" s="144"/>
      <c r="M163" s="274"/>
      <c r="N163" s="144"/>
      <c r="O163" s="144"/>
      <c r="P163" s="144"/>
      <c r="Q163" s="144"/>
      <c r="R163" s="144"/>
      <c r="S163" s="144"/>
    </row>
    <row r="164" spans="3:19">
      <c r="F164" s="1"/>
      <c r="J164" s="48"/>
      <c r="M164" s="86"/>
    </row>
  </sheetData>
  <mergeCells count="114">
    <mergeCell ref="E39:F39"/>
    <mergeCell ref="E23:F23"/>
    <mergeCell ref="E37:F37"/>
    <mergeCell ref="E24:F24"/>
    <mergeCell ref="B2:E2"/>
    <mergeCell ref="B3:E3"/>
    <mergeCell ref="B4:E4"/>
    <mergeCell ref="B9:C9"/>
    <mergeCell ref="E25:F25"/>
    <mergeCell ref="E33:F33"/>
    <mergeCell ref="E34:F34"/>
    <mergeCell ref="E35:F35"/>
    <mergeCell ref="C11:F11"/>
    <mergeCell ref="B12:B39"/>
    <mergeCell ref="D12:F12"/>
    <mergeCell ref="C13:C24"/>
    <mergeCell ref="E18:F18"/>
    <mergeCell ref="D20:D21"/>
    <mergeCell ref="E13:F13"/>
    <mergeCell ref="D90:F90"/>
    <mergeCell ref="E75:F75"/>
    <mergeCell ref="C34:C38"/>
    <mergeCell ref="E38:F38"/>
    <mergeCell ref="E53:F53"/>
    <mergeCell ref="E49:F49"/>
    <mergeCell ref="E79:F79"/>
    <mergeCell ref="E89:F89"/>
    <mergeCell ref="D42:F42"/>
    <mergeCell ref="E36:F36"/>
    <mergeCell ref="E19:F19"/>
    <mergeCell ref="C40:F40"/>
    <mergeCell ref="B54:B94"/>
    <mergeCell ref="C54:C94"/>
    <mergeCell ref="E56:F56"/>
    <mergeCell ref="E57:F57"/>
    <mergeCell ref="E45:F45"/>
    <mergeCell ref="E48:F48"/>
    <mergeCell ref="C42:C53"/>
    <mergeCell ref="E61:F61"/>
    <mergeCell ref="E68:F68"/>
    <mergeCell ref="B41:B53"/>
    <mergeCell ref="D41:F41"/>
    <mergeCell ref="E43:F43"/>
    <mergeCell ref="E44:F44"/>
    <mergeCell ref="E50:F50"/>
    <mergeCell ref="E51:F51"/>
    <mergeCell ref="E52:F52"/>
    <mergeCell ref="E58:F58"/>
    <mergeCell ref="E59:F59"/>
    <mergeCell ref="E60:F60"/>
    <mergeCell ref="E73:F73"/>
    <mergeCell ref="E101:F101"/>
    <mergeCell ref="E98:F98"/>
    <mergeCell ref="E74:F74"/>
    <mergeCell ref="E77:F77"/>
    <mergeCell ref="E78:F78"/>
    <mergeCell ref="E95:F95"/>
    <mergeCell ref="E96:F96"/>
    <mergeCell ref="D97:F97"/>
    <mergeCell ref="E100:F100"/>
    <mergeCell ref="E91:F91"/>
    <mergeCell ref="E92:F92"/>
    <mergeCell ref="E93:F93"/>
    <mergeCell ref="E94:F94"/>
    <mergeCell ref="E118:F118"/>
    <mergeCell ref="E119:F119"/>
    <mergeCell ref="E115:F115"/>
    <mergeCell ref="E76:F76"/>
    <mergeCell ref="E80:F80"/>
    <mergeCell ref="E103:F103"/>
    <mergeCell ref="E108:F108"/>
    <mergeCell ref="E107:F107"/>
    <mergeCell ref="E99:F99"/>
    <mergeCell ref="E102:F102"/>
    <mergeCell ref="E149:F149"/>
    <mergeCell ref="C142:C148"/>
    <mergeCell ref="B95:B130"/>
    <mergeCell ref="E112:F112"/>
    <mergeCell ref="E114:F114"/>
    <mergeCell ref="D115:D117"/>
    <mergeCell ref="D120:D125"/>
    <mergeCell ref="E120:F120"/>
    <mergeCell ref="E121:F121"/>
    <mergeCell ref="E122:F122"/>
    <mergeCell ref="E127:F127"/>
    <mergeCell ref="E130:F130"/>
    <mergeCell ref="E128:F128"/>
    <mergeCell ref="E116:F116"/>
    <mergeCell ref="E106:F106"/>
    <mergeCell ref="B131:B149"/>
    <mergeCell ref="C131:C134"/>
    <mergeCell ref="E131:F131"/>
    <mergeCell ref="E132:F132"/>
    <mergeCell ref="E133:F133"/>
    <mergeCell ref="E109:F109"/>
    <mergeCell ref="E113:F113"/>
    <mergeCell ref="E110:F110"/>
    <mergeCell ref="E111:F111"/>
    <mergeCell ref="C95:C130"/>
    <mergeCell ref="E123:F123"/>
    <mergeCell ref="E124:F124"/>
    <mergeCell ref="E125:F125"/>
    <mergeCell ref="D99:D101"/>
    <mergeCell ref="E129:F129"/>
    <mergeCell ref="E117:F117"/>
    <mergeCell ref="E151:F151"/>
    <mergeCell ref="E152:F152"/>
    <mergeCell ref="E134:F134"/>
    <mergeCell ref="E141:F141"/>
    <mergeCell ref="E142:F142"/>
    <mergeCell ref="E145:F145"/>
    <mergeCell ref="E148:F148"/>
    <mergeCell ref="E150:F150"/>
    <mergeCell ref="D126:F126"/>
  </mergeCells>
  <phoneticPr fontId="21" type="noConversion"/>
  <pageMargins left="0.25" right="0.25" top="0.75" bottom="0.75" header="0.3" footer="0.3"/>
  <pageSetup paperSize="9" orientation="landscape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75"/>
  <sheetViews>
    <sheetView topLeftCell="A4" workbookViewId="0">
      <selection activeCell="B6" sqref="B6:E6"/>
    </sheetView>
  </sheetViews>
  <sheetFormatPr defaultRowHeight="14.25"/>
  <cols>
    <col min="1" max="1" width="5" style="12" customWidth="1"/>
    <col min="2" max="2" width="52.140625" style="12" customWidth="1"/>
    <col min="3" max="3" width="8.5703125" style="12" customWidth="1"/>
    <col min="4" max="4" width="13.28515625" style="12" customWidth="1"/>
    <col min="5" max="5" width="11.85546875" style="12" customWidth="1"/>
    <col min="6" max="6" width="10.5703125" style="12" customWidth="1"/>
    <col min="7" max="16384" width="9.140625" style="12"/>
  </cols>
  <sheetData>
    <row r="2" spans="1:8">
      <c r="A2" s="452" t="s">
        <v>733</v>
      </c>
      <c r="B2" s="452"/>
      <c r="C2" s="452"/>
      <c r="D2" s="452"/>
    </row>
    <row r="3" spans="1:8">
      <c r="A3" s="452" t="s">
        <v>734</v>
      </c>
      <c r="B3" s="452"/>
      <c r="C3" s="452"/>
      <c r="D3" s="452"/>
      <c r="G3" s="13" t="s">
        <v>59</v>
      </c>
      <c r="H3" s="13"/>
    </row>
    <row r="4" spans="1:8">
      <c r="A4" s="452" t="s">
        <v>735</v>
      </c>
      <c r="B4" s="452"/>
      <c r="C4" s="452"/>
      <c r="D4" s="452"/>
    </row>
    <row r="5" spans="1:8">
      <c r="A5" s="186"/>
      <c r="B5" s="186"/>
      <c r="G5" s="14"/>
      <c r="H5" s="14"/>
    </row>
    <row r="6" spans="1:8">
      <c r="A6" s="186"/>
      <c r="B6" s="560" t="s">
        <v>1</v>
      </c>
      <c r="C6" s="560"/>
      <c r="D6" s="560"/>
      <c r="E6" s="560"/>
      <c r="G6" s="14"/>
      <c r="H6" s="14"/>
    </row>
    <row r="7" spans="1:8">
      <c r="A7" s="186"/>
      <c r="B7" s="560" t="s">
        <v>82</v>
      </c>
      <c r="C7" s="560"/>
      <c r="D7" s="560"/>
      <c r="E7" s="560"/>
      <c r="G7" s="14"/>
      <c r="H7" s="14"/>
    </row>
    <row r="8" spans="1:8">
      <c r="B8" s="562" t="s">
        <v>2</v>
      </c>
      <c r="C8" s="562"/>
      <c r="D8" s="562"/>
      <c r="E8" s="562"/>
    </row>
    <row r="9" spans="1:8">
      <c r="B9" s="15"/>
      <c r="C9" s="15"/>
      <c r="D9" s="15"/>
      <c r="E9" s="15"/>
    </row>
    <row r="10" spans="1:8" ht="15" thickBot="1">
      <c r="E10" s="12" t="s">
        <v>596</v>
      </c>
      <c r="G10" s="12" t="s">
        <v>797</v>
      </c>
    </row>
    <row r="11" spans="1:8" ht="15" customHeight="1" thickBot="1">
      <c r="A11" s="563"/>
      <c r="B11" s="565" t="s">
        <v>60</v>
      </c>
      <c r="C11" s="567" t="s">
        <v>61</v>
      </c>
      <c r="D11" s="450" t="s">
        <v>720</v>
      </c>
      <c r="E11" s="451"/>
      <c r="F11" s="450" t="s">
        <v>62</v>
      </c>
      <c r="G11" s="561"/>
      <c r="H11" s="451"/>
    </row>
    <row r="12" spans="1:8" ht="39" thickBot="1">
      <c r="A12" s="564"/>
      <c r="B12" s="566"/>
      <c r="C12" s="568"/>
      <c r="D12" s="140" t="s">
        <v>721</v>
      </c>
      <c r="E12" s="8" t="s">
        <v>64</v>
      </c>
      <c r="F12" s="8" t="s">
        <v>477</v>
      </c>
      <c r="G12" s="3" t="s">
        <v>722</v>
      </c>
      <c r="H12" s="3" t="s">
        <v>723</v>
      </c>
    </row>
    <row r="13" spans="1:8" ht="15" thickBot="1">
      <c r="A13" s="187" t="s">
        <v>724</v>
      </c>
      <c r="B13" s="3" t="s">
        <v>71</v>
      </c>
      <c r="C13" s="3" t="s">
        <v>65</v>
      </c>
      <c r="D13" s="3" t="s">
        <v>66</v>
      </c>
      <c r="E13" s="3">
        <v>5</v>
      </c>
      <c r="F13" s="3" t="s">
        <v>67</v>
      </c>
      <c r="G13" s="3" t="s">
        <v>4</v>
      </c>
      <c r="H13" s="3" t="s">
        <v>68</v>
      </c>
    </row>
    <row r="14" spans="1:8" ht="15" thickBot="1">
      <c r="A14" s="197"/>
      <c r="B14" s="283"/>
      <c r="C14" s="283"/>
      <c r="D14" s="378"/>
      <c r="E14" s="378"/>
      <c r="F14" s="378"/>
      <c r="G14" s="378"/>
      <c r="H14" s="378"/>
    </row>
    <row r="15" spans="1:8" ht="15" thickBot="1">
      <c r="A15" s="379" t="s">
        <v>417</v>
      </c>
      <c r="B15" s="380" t="s">
        <v>298</v>
      </c>
      <c r="C15" s="381"/>
      <c r="D15" s="382">
        <f>D16+D19+D22+D25</f>
        <v>6064</v>
      </c>
      <c r="E15" s="382">
        <f>E16+E19+E22+E25</f>
        <v>17866</v>
      </c>
      <c r="F15" s="382">
        <f>F16+F19+F22+F25</f>
        <v>38081</v>
      </c>
      <c r="G15" s="382"/>
      <c r="H15" s="382"/>
    </row>
    <row r="16" spans="1:8" ht="15" thickBot="1">
      <c r="A16" s="197" t="s">
        <v>3</v>
      </c>
      <c r="B16" s="383" t="s">
        <v>69</v>
      </c>
      <c r="C16" s="287"/>
      <c r="D16" s="384"/>
      <c r="E16" s="384">
        <f>E17+E18</f>
        <v>11802</v>
      </c>
      <c r="F16" s="384">
        <f>F17+F18</f>
        <v>11663</v>
      </c>
      <c r="G16" s="384"/>
      <c r="H16" s="384"/>
    </row>
    <row r="17" spans="1:8" ht="15" thickBot="1">
      <c r="A17" s="197"/>
      <c r="B17" s="198" t="s">
        <v>727</v>
      </c>
      <c r="C17" s="124"/>
      <c r="D17" s="209"/>
      <c r="E17" s="209">
        <v>11802</v>
      </c>
      <c r="F17" s="209">
        <v>11663</v>
      </c>
      <c r="G17" s="209"/>
      <c r="H17" s="209"/>
    </row>
    <row r="18" spans="1:8" ht="15" thickBot="1">
      <c r="A18" s="197"/>
      <c r="B18" s="198" t="s">
        <v>70</v>
      </c>
      <c r="C18" s="124"/>
      <c r="D18" s="209"/>
      <c r="E18" s="209"/>
      <c r="F18" s="209"/>
      <c r="G18" s="209"/>
      <c r="H18" s="209"/>
    </row>
    <row r="19" spans="1:8" ht="15" thickBot="1">
      <c r="A19" s="197" t="s">
        <v>71</v>
      </c>
      <c r="B19" s="383" t="s">
        <v>72</v>
      </c>
      <c r="C19" s="287"/>
      <c r="D19" s="384"/>
      <c r="E19" s="384"/>
      <c r="F19" s="384"/>
      <c r="G19" s="384"/>
      <c r="H19" s="384"/>
    </row>
    <row r="20" spans="1:8" ht="15" thickBot="1">
      <c r="A20" s="197"/>
      <c r="B20" s="198" t="s">
        <v>765</v>
      </c>
      <c r="C20" s="124"/>
      <c r="D20" s="209"/>
      <c r="E20" s="209"/>
      <c r="F20" s="209"/>
      <c r="G20" s="385"/>
      <c r="H20" s="385"/>
    </row>
    <row r="21" spans="1:8" ht="15" thickBot="1">
      <c r="A21" s="197"/>
      <c r="B21" s="198" t="s">
        <v>798</v>
      </c>
      <c r="C21" s="124"/>
      <c r="D21" s="209"/>
      <c r="E21" s="209"/>
      <c r="F21" s="209"/>
      <c r="G21" s="386"/>
      <c r="H21" s="387"/>
    </row>
    <row r="22" spans="1:8" ht="15" thickBot="1">
      <c r="A22" s="197" t="s">
        <v>65</v>
      </c>
      <c r="B22" s="383" t="s">
        <v>73</v>
      </c>
      <c r="C22" s="287"/>
      <c r="D22" s="384">
        <f>D23+D24</f>
        <v>6064</v>
      </c>
      <c r="E22" s="384">
        <f>E23+E24</f>
        <v>6064</v>
      </c>
      <c r="F22" s="384">
        <v>26418</v>
      </c>
      <c r="G22" s="384"/>
      <c r="H22" s="384"/>
    </row>
    <row r="23" spans="1:8" ht="15" thickBot="1">
      <c r="A23" s="204"/>
      <c r="B23" s="205" t="s">
        <v>74</v>
      </c>
      <c r="C23" s="388"/>
      <c r="D23" s="208">
        <v>6064</v>
      </c>
      <c r="E23" s="208">
        <v>6064</v>
      </c>
      <c r="F23" s="208">
        <v>26418</v>
      </c>
      <c r="G23" s="208"/>
      <c r="H23" s="208"/>
    </row>
    <row r="24" spans="1:8" ht="15" thickBot="1">
      <c r="A24" s="204"/>
      <c r="B24" s="205" t="s">
        <v>75</v>
      </c>
      <c r="C24" s="388"/>
      <c r="D24" s="208"/>
      <c r="E24" s="208"/>
      <c r="F24" s="208"/>
      <c r="G24" s="208"/>
      <c r="H24" s="208"/>
    </row>
    <row r="25" spans="1:8" ht="15" thickBot="1">
      <c r="A25" s="197" t="s">
        <v>66</v>
      </c>
      <c r="B25" s="383" t="s">
        <v>76</v>
      </c>
      <c r="C25" s="287"/>
      <c r="D25" s="384"/>
      <c r="E25" s="384"/>
      <c r="F25" s="384"/>
      <c r="G25" s="384"/>
      <c r="H25" s="384"/>
    </row>
    <row r="26" spans="1:8" ht="15" thickBot="1">
      <c r="A26" s="197"/>
      <c r="B26" s="198"/>
      <c r="C26" s="124"/>
      <c r="D26" s="209"/>
      <c r="E26" s="209"/>
      <c r="F26" s="209"/>
      <c r="G26" s="389"/>
      <c r="H26" s="390"/>
    </row>
    <row r="27" spans="1:8" ht="15" thickBot="1">
      <c r="A27" s="379" t="s">
        <v>77</v>
      </c>
      <c r="B27" s="396" t="s">
        <v>799</v>
      </c>
      <c r="C27" s="397"/>
      <c r="D27" s="398">
        <f>D28+D48+D64+D58</f>
        <v>6702.2179999999998</v>
      </c>
      <c r="E27" s="398">
        <f>E28+E48+E64+E58</f>
        <v>4723.5980000000009</v>
      </c>
      <c r="F27" s="398">
        <f>F28+F48+F64+F58</f>
        <v>27416.467000000004</v>
      </c>
      <c r="G27" s="398">
        <f>G28+G48+G64+G58</f>
        <v>9777.5760000000009</v>
      </c>
      <c r="H27" s="398">
        <f>H28+H48+H64+H58</f>
        <v>9777.57</v>
      </c>
    </row>
    <row r="28" spans="1:8" ht="15" thickBot="1">
      <c r="A28" s="197" t="s">
        <v>3</v>
      </c>
      <c r="B28" s="288" t="s">
        <v>729</v>
      </c>
      <c r="C28" s="399"/>
      <c r="D28" s="400">
        <f>D29+D32+D39+D44</f>
        <v>5686.23</v>
      </c>
      <c r="E28" s="400">
        <f>E29+E32+E39+E44</f>
        <v>3707.61</v>
      </c>
      <c r="F28" s="400">
        <f>F29+F32+F39+F44</f>
        <v>24749.670000000002</v>
      </c>
      <c r="G28" s="400">
        <f>G29+G32+G39+G44</f>
        <v>4650</v>
      </c>
      <c r="H28" s="400">
        <f>H29+H32+H39+H44</f>
        <v>4650</v>
      </c>
    </row>
    <row r="29" spans="1:8" ht="15" thickBot="1">
      <c r="A29" s="197"/>
      <c r="B29" s="213" t="s">
        <v>730</v>
      </c>
      <c r="C29" s="401"/>
      <c r="D29" s="402"/>
      <c r="E29" s="402"/>
      <c r="F29" s="402"/>
      <c r="G29" s="403"/>
      <c r="H29" s="403"/>
    </row>
    <row r="30" spans="1:8" ht="15" thickBot="1">
      <c r="A30" s="197"/>
      <c r="B30" s="404"/>
      <c r="C30" s="401"/>
      <c r="D30" s="403"/>
      <c r="E30" s="403"/>
      <c r="F30" s="405"/>
      <c r="G30" s="405"/>
      <c r="H30" s="405"/>
    </row>
    <row r="31" spans="1:8" ht="15" thickBot="1">
      <c r="A31" s="197"/>
      <c r="B31" s="404"/>
      <c r="C31" s="401"/>
      <c r="D31" s="403"/>
      <c r="E31" s="403"/>
      <c r="F31" s="405"/>
      <c r="G31" s="405"/>
      <c r="H31" s="405"/>
    </row>
    <row r="32" spans="1:8" ht="26.25" thickBot="1">
      <c r="A32" s="197"/>
      <c r="B32" s="296" t="s">
        <v>800</v>
      </c>
      <c r="C32" s="401"/>
      <c r="D32" s="402">
        <f>D33+D34+D35+D36+D37+D38</f>
        <v>1255.2350000000001</v>
      </c>
      <c r="E32" s="402">
        <f>E33+E34+E35+E36+E37+E38</f>
        <v>1255.2350000000001</v>
      </c>
      <c r="F32" s="402">
        <f>F33+F34+F35+F36+F37+F38</f>
        <v>22288.612000000001</v>
      </c>
      <c r="G32" s="402">
        <f>G33+G34+G35+G36+G37+G38</f>
        <v>4150</v>
      </c>
      <c r="H32" s="402">
        <f>H33+H34+H35+H36+H37+H38</f>
        <v>4150</v>
      </c>
    </row>
    <row r="33" spans="1:8" ht="15" thickBot="1">
      <c r="A33" s="197"/>
      <c r="B33" s="406" t="s">
        <v>801</v>
      </c>
      <c r="C33" s="401"/>
      <c r="D33" s="407">
        <v>0</v>
      </c>
      <c r="E33" s="407">
        <v>0</v>
      </c>
      <c r="F33" s="407"/>
      <c r="G33" s="403">
        <v>0</v>
      </c>
      <c r="H33" s="403">
        <v>0</v>
      </c>
    </row>
    <row r="34" spans="1:8" ht="24.75" thickBot="1">
      <c r="A34" s="197"/>
      <c r="B34" s="404" t="s">
        <v>802</v>
      </c>
      <c r="C34" s="401">
        <v>2016</v>
      </c>
      <c r="D34" s="407">
        <v>160</v>
      </c>
      <c r="E34" s="407">
        <v>160</v>
      </c>
      <c r="F34" s="407">
        <v>13426.79</v>
      </c>
      <c r="G34" s="403">
        <v>2000</v>
      </c>
      <c r="H34" s="403">
        <v>2000</v>
      </c>
    </row>
    <row r="35" spans="1:8" ht="24.75" thickBot="1">
      <c r="A35" s="197"/>
      <c r="B35" s="408" t="s">
        <v>803</v>
      </c>
      <c r="C35" s="401">
        <v>2016</v>
      </c>
      <c r="D35" s="407">
        <v>908</v>
      </c>
      <c r="E35" s="407">
        <v>908</v>
      </c>
      <c r="F35" s="405">
        <v>8861.8220000000001</v>
      </c>
      <c r="G35" s="403">
        <v>2000</v>
      </c>
      <c r="H35" s="403">
        <v>2000</v>
      </c>
    </row>
    <row r="36" spans="1:8" ht="15" thickBot="1">
      <c r="A36" s="197"/>
      <c r="B36" s="408" t="s">
        <v>804</v>
      </c>
      <c r="C36" s="401">
        <v>2015</v>
      </c>
      <c r="D36" s="409">
        <v>187.23500000000001</v>
      </c>
      <c r="E36" s="409">
        <v>187.23500000000001</v>
      </c>
      <c r="F36" s="405">
        <v>0</v>
      </c>
      <c r="G36" s="403">
        <v>150</v>
      </c>
      <c r="H36" s="403">
        <v>150</v>
      </c>
    </row>
    <row r="37" spans="1:8" ht="15" thickBot="1">
      <c r="A37" s="197"/>
      <c r="B37" s="408"/>
      <c r="C37" s="401"/>
      <c r="D37" s="405"/>
      <c r="E37" s="407"/>
      <c r="F37" s="405"/>
      <c r="G37" s="403"/>
      <c r="H37" s="403"/>
    </row>
    <row r="38" spans="1:8" ht="15" thickBot="1">
      <c r="A38" s="197"/>
      <c r="B38" s="404"/>
      <c r="C38" s="401"/>
      <c r="D38" s="410"/>
      <c r="E38" s="407"/>
      <c r="F38" s="410"/>
      <c r="G38" s="403"/>
      <c r="H38" s="403"/>
    </row>
    <row r="39" spans="1:8" ht="26.25" thickBot="1">
      <c r="A39" s="197"/>
      <c r="B39" s="296" t="s">
        <v>805</v>
      </c>
      <c r="C39" s="401"/>
      <c r="D39" s="403">
        <f>D40+D41+D42+D43</f>
        <v>4430.9949999999999</v>
      </c>
      <c r="E39" s="403">
        <f>E40+E41+E42+E43</f>
        <v>2452.375</v>
      </c>
      <c r="F39" s="403">
        <f>F40+F41+F42+F43</f>
        <v>2461.0580000000004</v>
      </c>
      <c r="G39" s="403">
        <f>G40+G41+G42+G43</f>
        <v>500</v>
      </c>
      <c r="H39" s="403">
        <f>H40+H41+H42+H43</f>
        <v>500</v>
      </c>
    </row>
    <row r="40" spans="1:8" ht="39" thickBot="1">
      <c r="A40" s="197"/>
      <c r="B40" s="411" t="s">
        <v>806</v>
      </c>
      <c r="C40" s="401">
        <v>2013</v>
      </c>
      <c r="D40" s="403">
        <v>946</v>
      </c>
      <c r="E40" s="403">
        <v>14</v>
      </c>
      <c r="F40" s="403">
        <v>1088.4960000000001</v>
      </c>
      <c r="G40" s="403">
        <v>0</v>
      </c>
      <c r="H40" s="403">
        <v>0</v>
      </c>
    </row>
    <row r="41" spans="1:8" ht="39" thickBot="1">
      <c r="A41" s="197"/>
      <c r="B41" s="411" t="s">
        <v>807</v>
      </c>
      <c r="C41" s="401">
        <v>2013</v>
      </c>
      <c r="D41" s="403">
        <v>1061</v>
      </c>
      <c r="E41" s="403">
        <v>14.38</v>
      </c>
      <c r="F41" s="403">
        <v>770.71500000000003</v>
      </c>
      <c r="G41" s="403">
        <v>0</v>
      </c>
      <c r="H41" s="403">
        <v>0</v>
      </c>
    </row>
    <row r="42" spans="1:8" ht="15" thickBot="1">
      <c r="A42" s="197"/>
      <c r="B42" s="411" t="s">
        <v>808</v>
      </c>
      <c r="C42" s="401">
        <v>2015</v>
      </c>
      <c r="D42" s="403">
        <v>9</v>
      </c>
      <c r="E42" s="403">
        <v>9</v>
      </c>
      <c r="F42" s="403">
        <v>237.77500000000001</v>
      </c>
      <c r="G42" s="403">
        <v>200</v>
      </c>
      <c r="H42" s="403">
        <v>200</v>
      </c>
    </row>
    <row r="43" spans="1:8" ht="15" thickBot="1">
      <c r="A43" s="197"/>
      <c r="B43" s="411" t="s">
        <v>809</v>
      </c>
      <c r="C43" s="401">
        <v>2015</v>
      </c>
      <c r="D43" s="403">
        <v>2414.9949999999999</v>
      </c>
      <c r="E43" s="403">
        <v>2414.9949999999999</v>
      </c>
      <c r="F43" s="403">
        <v>364.072</v>
      </c>
      <c r="G43" s="403">
        <v>300</v>
      </c>
      <c r="H43" s="403">
        <v>300</v>
      </c>
    </row>
    <row r="44" spans="1:8" ht="39" thickBot="1">
      <c r="A44" s="197"/>
      <c r="B44" s="296" t="s">
        <v>810</v>
      </c>
      <c r="C44" s="401"/>
      <c r="D44" s="403"/>
      <c r="E44" s="403"/>
      <c r="F44" s="403"/>
      <c r="G44" s="403"/>
      <c r="H44" s="403"/>
    </row>
    <row r="45" spans="1:8" ht="15" thickBot="1">
      <c r="A45" s="197"/>
      <c r="B45" s="213" t="s">
        <v>811</v>
      </c>
      <c r="C45" s="401"/>
      <c r="D45" s="403"/>
      <c r="E45" s="403"/>
      <c r="F45" s="403"/>
      <c r="G45" s="403"/>
      <c r="H45" s="403"/>
    </row>
    <row r="46" spans="1:8" ht="15" thickBot="1">
      <c r="A46" s="197"/>
      <c r="B46" s="213" t="s">
        <v>811</v>
      </c>
      <c r="C46" s="401"/>
      <c r="D46" s="403"/>
      <c r="E46" s="403"/>
      <c r="F46" s="403"/>
      <c r="G46" s="403"/>
      <c r="H46" s="403"/>
    </row>
    <row r="47" spans="1:8" ht="15" thickBot="1">
      <c r="A47" s="197"/>
      <c r="B47" s="213" t="s">
        <v>812</v>
      </c>
      <c r="C47" s="401"/>
      <c r="D47" s="403"/>
      <c r="E47" s="403"/>
      <c r="F47" s="403"/>
      <c r="G47" s="403"/>
      <c r="H47" s="403"/>
    </row>
    <row r="48" spans="1:8" ht="15" thickBot="1">
      <c r="A48" s="197" t="s">
        <v>71</v>
      </c>
      <c r="B48" s="288" t="s">
        <v>78</v>
      </c>
      <c r="C48" s="401"/>
      <c r="D48" s="400">
        <f>D49+D51+D53</f>
        <v>0</v>
      </c>
      <c r="E48" s="400">
        <f>E49+E51+E53</f>
        <v>0</v>
      </c>
      <c r="F48" s="400">
        <f>F49+F51+F53</f>
        <v>1126.6320000000001</v>
      </c>
      <c r="G48" s="400">
        <f>G49+G51+G53</f>
        <v>4627.576</v>
      </c>
      <c r="H48" s="400">
        <f>H49+H51+H53</f>
        <v>4627.57</v>
      </c>
    </row>
    <row r="49" spans="1:8" ht="15" thickBot="1">
      <c r="A49" s="197"/>
      <c r="B49" s="213" t="s">
        <v>827</v>
      </c>
      <c r="C49" s="412"/>
      <c r="D49" s="402"/>
      <c r="E49" s="402"/>
      <c r="F49" s="402"/>
      <c r="G49" s="402"/>
      <c r="H49" s="402"/>
    </row>
    <row r="50" spans="1:8" ht="15" thickBot="1">
      <c r="A50" s="197"/>
      <c r="B50" s="213"/>
      <c r="C50" s="401"/>
      <c r="D50" s="403"/>
      <c r="E50" s="403"/>
      <c r="F50" s="403"/>
      <c r="G50" s="403"/>
      <c r="H50" s="403"/>
    </row>
    <row r="51" spans="1:8" ht="26.25" thickBot="1">
      <c r="A51" s="197"/>
      <c r="B51" s="296" t="s">
        <v>828</v>
      </c>
      <c r="C51" s="401"/>
      <c r="D51" s="402"/>
      <c r="E51" s="402"/>
      <c r="F51" s="402"/>
      <c r="G51" s="402"/>
      <c r="H51" s="402"/>
    </row>
    <row r="52" spans="1:8" ht="15" thickBot="1">
      <c r="A52" s="197"/>
      <c r="B52" s="413"/>
      <c r="C52" s="401"/>
      <c r="D52" s="402"/>
      <c r="E52" s="402"/>
      <c r="F52" s="403"/>
      <c r="G52" s="403"/>
      <c r="H52" s="402"/>
    </row>
    <row r="53" spans="1:8" ht="26.25" thickBot="1">
      <c r="A53" s="197"/>
      <c r="B53" s="296" t="s">
        <v>805</v>
      </c>
      <c r="C53" s="401"/>
      <c r="D53" s="403">
        <f>D54+D55+D56</f>
        <v>0</v>
      </c>
      <c r="E53" s="403">
        <f>E54+E55+E56</f>
        <v>0</v>
      </c>
      <c r="F53" s="403">
        <f>F54+F55+F56</f>
        <v>1126.6320000000001</v>
      </c>
      <c r="G53" s="403">
        <f>G54+G55+G56</f>
        <v>4627.576</v>
      </c>
      <c r="H53" s="403">
        <f>H54+H55+H56</f>
        <v>4627.57</v>
      </c>
    </row>
    <row r="54" spans="1:8" ht="26.25" thickBot="1">
      <c r="A54" s="197"/>
      <c r="B54" s="411" t="s">
        <v>813</v>
      </c>
      <c r="C54" s="401">
        <v>2015</v>
      </c>
      <c r="D54" s="403">
        <v>0</v>
      </c>
      <c r="E54" s="403">
        <v>0</v>
      </c>
      <c r="F54" s="403">
        <v>200</v>
      </c>
      <c r="G54" s="403">
        <v>4627.576</v>
      </c>
      <c r="H54" s="403">
        <v>4627.57</v>
      </c>
    </row>
    <row r="55" spans="1:8" ht="15" thickBot="1">
      <c r="A55" s="197"/>
      <c r="B55" s="408" t="s">
        <v>814</v>
      </c>
      <c r="C55" s="401">
        <v>2013</v>
      </c>
      <c r="D55" s="403">
        <v>0</v>
      </c>
      <c r="E55" s="403">
        <v>0</v>
      </c>
      <c r="F55" s="403">
        <v>850.4</v>
      </c>
      <c r="G55" s="403">
        <v>0</v>
      </c>
      <c r="H55" s="403">
        <v>0</v>
      </c>
    </row>
    <row r="56" spans="1:8" ht="15" thickBot="1">
      <c r="A56" s="197"/>
      <c r="B56" s="404" t="s">
        <v>815</v>
      </c>
      <c r="C56" s="401">
        <v>2014</v>
      </c>
      <c r="D56" s="403">
        <v>0</v>
      </c>
      <c r="E56" s="403">
        <v>0</v>
      </c>
      <c r="F56" s="403">
        <v>76.231999999999999</v>
      </c>
      <c r="G56" s="403">
        <v>0</v>
      </c>
      <c r="H56" s="403">
        <v>0</v>
      </c>
    </row>
    <row r="57" spans="1:8" ht="15" thickBot="1">
      <c r="A57" s="197"/>
      <c r="B57" s="414"/>
      <c r="C57" s="401"/>
      <c r="D57" s="405"/>
      <c r="E57" s="407"/>
      <c r="F57" s="415"/>
      <c r="G57" s="403"/>
      <c r="H57" s="403"/>
    </row>
    <row r="58" spans="1:8" ht="15" thickBot="1">
      <c r="A58" s="197">
        <v>3</v>
      </c>
      <c r="B58" s="380" t="s">
        <v>816</v>
      </c>
      <c r="C58" s="401"/>
      <c r="D58" s="407">
        <f>D60</f>
        <v>77.988</v>
      </c>
      <c r="E58" s="407">
        <f>E60</f>
        <v>77.988</v>
      </c>
      <c r="F58" s="407">
        <f>F60</f>
        <v>315.66000000000003</v>
      </c>
      <c r="G58" s="407">
        <f>G60</f>
        <v>200</v>
      </c>
      <c r="H58" s="407">
        <f>H60</f>
        <v>200</v>
      </c>
    </row>
    <row r="59" spans="1:8" ht="26.25" thickBot="1">
      <c r="A59" s="197"/>
      <c r="B59" s="395" t="s">
        <v>829</v>
      </c>
      <c r="C59" s="401"/>
      <c r="D59" s="415"/>
      <c r="E59" s="407"/>
      <c r="F59" s="415"/>
      <c r="G59" s="403"/>
      <c r="H59" s="403"/>
    </row>
    <row r="60" spans="1:8" ht="15" thickBot="1">
      <c r="A60" s="377"/>
      <c r="B60" s="416" t="s">
        <v>817</v>
      </c>
      <c r="C60" s="417">
        <v>2015</v>
      </c>
      <c r="D60" s="415">
        <v>77.988</v>
      </c>
      <c r="E60" s="407">
        <v>77.988</v>
      </c>
      <c r="F60" s="415">
        <v>315.66000000000003</v>
      </c>
      <c r="G60" s="403">
        <v>200</v>
      </c>
      <c r="H60" s="403">
        <v>200</v>
      </c>
    </row>
    <row r="61" spans="1:8" ht="15" thickBot="1">
      <c r="A61" s="197"/>
      <c r="B61" s="418"/>
      <c r="C61" s="419"/>
      <c r="D61" s="420"/>
      <c r="E61" s="421"/>
      <c r="F61" s="422"/>
      <c r="G61" s="421"/>
      <c r="H61" s="421"/>
    </row>
    <row r="62" spans="1:8" ht="15" thickBot="1">
      <c r="A62" s="197"/>
      <c r="B62" s="423"/>
      <c r="C62" s="419"/>
      <c r="D62" s="424"/>
      <c r="E62" s="425"/>
      <c r="F62" s="424"/>
      <c r="G62" s="421"/>
      <c r="H62" s="421"/>
    </row>
    <row r="63" spans="1:8" ht="15" thickBot="1">
      <c r="A63" s="379">
        <v>4</v>
      </c>
      <c r="B63" s="426" t="s">
        <v>79</v>
      </c>
      <c r="C63" s="427"/>
      <c r="D63" s="382">
        <f>D64</f>
        <v>938</v>
      </c>
      <c r="E63" s="382">
        <f>E64</f>
        <v>938</v>
      </c>
      <c r="F63" s="382">
        <f>F64</f>
        <v>1224.5050000000001</v>
      </c>
      <c r="G63" s="382">
        <f>G64</f>
        <v>300</v>
      </c>
      <c r="H63" s="382">
        <f>H64</f>
        <v>300</v>
      </c>
    </row>
    <row r="64" spans="1:8" ht="15" thickBot="1">
      <c r="A64" s="197"/>
      <c r="B64" s="392" t="s">
        <v>818</v>
      </c>
      <c r="C64" s="394">
        <v>2015</v>
      </c>
      <c r="D64" s="428">
        <v>938</v>
      </c>
      <c r="E64" s="428">
        <v>938</v>
      </c>
      <c r="F64" s="428">
        <v>1224.5050000000001</v>
      </c>
      <c r="G64" s="428">
        <v>300</v>
      </c>
      <c r="H64" s="428">
        <v>300</v>
      </c>
    </row>
    <row r="65" spans="1:8" ht="15" thickBot="1">
      <c r="A65" s="197"/>
      <c r="B65" s="383"/>
      <c r="C65" s="391"/>
      <c r="D65" s="384"/>
      <c r="E65" s="384"/>
      <c r="F65" s="384"/>
      <c r="G65" s="384"/>
      <c r="H65" s="384"/>
    </row>
    <row r="66" spans="1:8" ht="15" thickBot="1">
      <c r="A66" s="379" t="s">
        <v>274</v>
      </c>
      <c r="B66" s="380" t="s">
        <v>732</v>
      </c>
      <c r="C66" s="381"/>
      <c r="D66" s="382">
        <f>D67+D68</f>
        <v>0</v>
      </c>
      <c r="E66" s="382">
        <f>E67+E68</f>
        <v>56</v>
      </c>
      <c r="F66" s="382">
        <f>F67+F68</f>
        <v>3498</v>
      </c>
      <c r="G66" s="382">
        <f>G67+G68</f>
        <v>2989</v>
      </c>
      <c r="H66" s="382">
        <f>H67+H68</f>
        <v>2114</v>
      </c>
    </row>
    <row r="67" spans="1:8" ht="15" thickBot="1">
      <c r="A67" s="197"/>
      <c r="B67" s="392" t="s">
        <v>74</v>
      </c>
      <c r="C67" s="393"/>
      <c r="D67" s="209"/>
      <c r="E67" s="209">
        <v>56</v>
      </c>
      <c r="F67" s="209">
        <v>3498</v>
      </c>
      <c r="G67" s="209">
        <v>2989</v>
      </c>
      <c r="H67" s="209">
        <v>2114</v>
      </c>
    </row>
    <row r="68" spans="1:8" ht="15" thickBot="1">
      <c r="A68" s="197"/>
      <c r="B68" s="392" t="s">
        <v>81</v>
      </c>
      <c r="C68" s="393"/>
      <c r="D68" s="209"/>
      <c r="E68" s="209"/>
      <c r="F68" s="209"/>
      <c r="G68" s="209"/>
      <c r="H68" s="209"/>
    </row>
    <row r="69" spans="1:8">
      <c r="A69" s="429"/>
      <c r="B69" s="429"/>
      <c r="C69" s="429"/>
      <c r="D69" s="429"/>
      <c r="E69" s="429"/>
      <c r="F69" s="429"/>
      <c r="G69" s="429"/>
      <c r="H69" s="429"/>
    </row>
    <row r="70" spans="1:8">
      <c r="A70" s="429"/>
      <c r="B70" s="429"/>
      <c r="C70" s="429"/>
      <c r="D70" s="429"/>
      <c r="E70" s="429"/>
      <c r="F70" s="429"/>
      <c r="G70" s="429"/>
      <c r="H70" s="429"/>
    </row>
    <row r="71" spans="1:8">
      <c r="A71" s="429"/>
      <c r="B71" s="429"/>
      <c r="C71" s="429"/>
      <c r="D71" s="429"/>
      <c r="E71" s="429"/>
      <c r="F71" s="429"/>
      <c r="G71" s="429"/>
      <c r="H71" s="429"/>
    </row>
    <row r="72" spans="1:8">
      <c r="A72" s="429"/>
      <c r="B72" s="269" t="s">
        <v>771</v>
      </c>
      <c r="C72" s="144"/>
      <c r="D72" s="144"/>
      <c r="E72" s="144" t="s">
        <v>770</v>
      </c>
      <c r="F72" s="144"/>
      <c r="G72" s="429"/>
      <c r="H72" s="429"/>
    </row>
    <row r="73" spans="1:8">
      <c r="A73" s="429"/>
      <c r="B73" s="269" t="s">
        <v>772</v>
      </c>
      <c r="C73" s="144"/>
      <c r="D73" s="144"/>
      <c r="E73" s="144" t="s">
        <v>773</v>
      </c>
      <c r="F73" s="144"/>
      <c r="G73" s="429"/>
      <c r="H73" s="429"/>
    </row>
    <row r="74" spans="1:8">
      <c r="A74" s="429"/>
      <c r="B74" s="429"/>
      <c r="C74" s="429"/>
      <c r="D74" s="429"/>
      <c r="E74" s="429"/>
      <c r="F74" s="429"/>
      <c r="G74" s="429"/>
      <c r="H74" s="429"/>
    </row>
    <row r="75" spans="1:8">
      <c r="A75" s="429"/>
      <c r="B75" s="429"/>
      <c r="C75" s="429"/>
      <c r="D75" s="429"/>
      <c r="E75" s="429"/>
      <c r="F75" s="429"/>
      <c r="G75" s="429"/>
      <c r="H75" s="429"/>
    </row>
  </sheetData>
  <mergeCells count="11">
    <mergeCell ref="D11:E11"/>
    <mergeCell ref="B7:E7"/>
    <mergeCell ref="A2:D2"/>
    <mergeCell ref="A3:D3"/>
    <mergeCell ref="A4:D4"/>
    <mergeCell ref="B6:E6"/>
    <mergeCell ref="F11:H11"/>
    <mergeCell ref="B8:E8"/>
    <mergeCell ref="A11:A12"/>
    <mergeCell ref="B11:B12"/>
    <mergeCell ref="C11:C12"/>
  </mergeCells>
  <phoneticPr fontId="21" type="noConversion"/>
  <pageMargins left="0.95" right="0.7" top="0.5" bottom="0.75" header="0.3" footer="0.3"/>
  <pageSetup paperSize="9" orientation="landscape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3"/>
  <sheetViews>
    <sheetView topLeftCell="A4" workbookViewId="0">
      <selection activeCell="B27" sqref="B27"/>
    </sheetView>
  </sheetViews>
  <sheetFormatPr defaultRowHeight="12"/>
  <cols>
    <col min="1" max="1" width="5.42578125" style="108" customWidth="1"/>
    <col min="2" max="2" width="50.42578125" style="108" customWidth="1"/>
    <col min="3" max="3" width="11.28515625" style="108" customWidth="1"/>
    <col min="4" max="4" width="10.7109375" style="108" customWidth="1"/>
    <col min="5" max="5" width="10.28515625" style="108" customWidth="1"/>
    <col min="6" max="6" width="9.5703125" style="108" customWidth="1"/>
    <col min="7" max="9" width="11.140625" style="108" customWidth="1"/>
    <col min="10" max="16384" width="9.140625" style="108"/>
  </cols>
  <sheetData>
    <row r="1" spans="1:9" ht="12.75">
      <c r="A1" s="452" t="s">
        <v>733</v>
      </c>
      <c r="B1" s="452"/>
      <c r="C1" s="452"/>
      <c r="D1" s="452"/>
    </row>
    <row r="2" spans="1:9" ht="12.75">
      <c r="A2" s="452" t="s">
        <v>734</v>
      </c>
      <c r="B2" s="452"/>
      <c r="C2" s="452"/>
      <c r="D2" s="452"/>
      <c r="H2" s="109" t="s">
        <v>83</v>
      </c>
      <c r="I2" s="109"/>
    </row>
    <row r="3" spans="1:9" ht="12.75">
      <c r="A3" s="452" t="s">
        <v>735</v>
      </c>
      <c r="B3" s="452"/>
      <c r="C3" s="452"/>
      <c r="D3" s="452"/>
    </row>
    <row r="4" spans="1:9">
      <c r="B4" s="569" t="s">
        <v>168</v>
      </c>
      <c r="C4" s="569"/>
      <c r="D4" s="569"/>
      <c r="E4" s="569"/>
      <c r="F4" s="569"/>
    </row>
    <row r="5" spans="1:9">
      <c r="B5" s="569" t="s">
        <v>89</v>
      </c>
      <c r="C5" s="569"/>
      <c r="D5" s="569"/>
      <c r="E5" s="569"/>
      <c r="F5" s="569"/>
    </row>
    <row r="8" spans="1:9" ht="12.75" thickBot="1"/>
    <row r="9" spans="1:9" ht="44.25" customHeight="1" thickBot="1">
      <c r="A9" s="572" t="s">
        <v>656</v>
      </c>
      <c r="B9" s="574" t="s">
        <v>657</v>
      </c>
      <c r="C9" s="570" t="s">
        <v>202</v>
      </c>
      <c r="D9" s="576" t="s">
        <v>203</v>
      </c>
      <c r="E9" s="578" t="s">
        <v>204</v>
      </c>
      <c r="F9" s="579"/>
      <c r="G9" s="576" t="s">
        <v>205</v>
      </c>
      <c r="H9" s="570" t="s">
        <v>718</v>
      </c>
      <c r="I9" s="570" t="s">
        <v>719</v>
      </c>
    </row>
    <row r="10" spans="1:9" ht="72.75" thickBot="1">
      <c r="A10" s="573"/>
      <c r="B10" s="575"/>
      <c r="C10" s="571"/>
      <c r="D10" s="577"/>
      <c r="E10" s="110" t="s">
        <v>658</v>
      </c>
      <c r="F10" s="111" t="s">
        <v>659</v>
      </c>
      <c r="G10" s="577"/>
      <c r="H10" s="571"/>
      <c r="I10" s="571"/>
    </row>
    <row r="11" spans="1:9" ht="12.75" thickBot="1">
      <c r="A11" s="174" t="s">
        <v>3</v>
      </c>
      <c r="B11" s="447" t="s">
        <v>71</v>
      </c>
      <c r="C11" s="447" t="s">
        <v>65</v>
      </c>
      <c r="D11" s="447" t="s">
        <v>66</v>
      </c>
      <c r="E11" s="447" t="s">
        <v>80</v>
      </c>
      <c r="F11" s="447" t="s">
        <v>67</v>
      </c>
      <c r="G11" s="175" t="s">
        <v>660</v>
      </c>
      <c r="H11" s="447" t="s">
        <v>68</v>
      </c>
      <c r="I11" s="447" t="s">
        <v>92</v>
      </c>
    </row>
    <row r="12" spans="1:9">
      <c r="A12" s="177" t="s">
        <v>254</v>
      </c>
      <c r="B12" s="178" t="s">
        <v>661</v>
      </c>
      <c r="C12" s="179">
        <v>4631665</v>
      </c>
      <c r="D12" s="179">
        <v>40911138</v>
      </c>
      <c r="E12" s="179">
        <v>40742803</v>
      </c>
      <c r="F12" s="179">
        <v>0</v>
      </c>
      <c r="G12" s="179">
        <f>C12+D12-E12-F12</f>
        <v>4800000</v>
      </c>
      <c r="H12" s="179">
        <f>G12*1.002</f>
        <v>4809600</v>
      </c>
      <c r="I12" s="180">
        <f>H12*0.93</f>
        <v>4472928</v>
      </c>
    </row>
    <row r="13" spans="1:9">
      <c r="A13" s="181" t="s">
        <v>208</v>
      </c>
      <c r="B13" s="134" t="s">
        <v>662</v>
      </c>
      <c r="C13" s="176"/>
      <c r="D13" s="176">
        <v>0</v>
      </c>
      <c r="E13" s="176"/>
      <c r="F13" s="176"/>
      <c r="G13" s="176">
        <f t="shared" ref="G13:G23" si="0">C13+D13-E13-F13</f>
        <v>0</v>
      </c>
      <c r="H13" s="176"/>
      <c r="I13" s="182"/>
    </row>
    <row r="14" spans="1:9">
      <c r="A14" s="133" t="s">
        <v>663</v>
      </c>
      <c r="B14" s="134" t="s">
        <v>664</v>
      </c>
      <c r="C14" s="176">
        <v>2413553</v>
      </c>
      <c r="D14" s="176">
        <v>2722236</v>
      </c>
      <c r="E14" s="176">
        <v>3204946</v>
      </c>
      <c r="F14" s="176">
        <v>0</v>
      </c>
      <c r="G14" s="176">
        <f t="shared" si="0"/>
        <v>1930843</v>
      </c>
      <c r="H14" s="176">
        <v>1755684</v>
      </c>
      <c r="I14" s="182">
        <f>H14*0.95</f>
        <v>1667899.7999999998</v>
      </c>
    </row>
    <row r="15" spans="1:9">
      <c r="A15" s="133" t="s">
        <v>665</v>
      </c>
      <c r="B15" s="134" t="s">
        <v>662</v>
      </c>
      <c r="C15" s="176">
        <v>678832</v>
      </c>
      <c r="D15" s="176">
        <v>0</v>
      </c>
      <c r="E15" s="176"/>
      <c r="F15" s="176">
        <v>215600</v>
      </c>
      <c r="G15" s="176">
        <f t="shared" si="0"/>
        <v>463232</v>
      </c>
      <c r="H15" s="176">
        <v>230616</v>
      </c>
      <c r="I15" s="182">
        <v>0</v>
      </c>
    </row>
    <row r="16" spans="1:9">
      <c r="A16" s="133" t="s">
        <v>666</v>
      </c>
      <c r="B16" s="134" t="s">
        <v>667</v>
      </c>
      <c r="C16" s="176">
        <v>162067</v>
      </c>
      <c r="D16" s="176">
        <v>317837</v>
      </c>
      <c r="E16" s="176">
        <v>350250</v>
      </c>
      <c r="F16" s="176">
        <v>0</v>
      </c>
      <c r="G16" s="176">
        <f t="shared" si="0"/>
        <v>129654</v>
      </c>
      <c r="H16" s="176">
        <f>G16*0.4</f>
        <v>51861.600000000006</v>
      </c>
      <c r="I16" s="182">
        <f t="shared" ref="I16:I21" si="1">H16*0.9</f>
        <v>46675.44000000001</v>
      </c>
    </row>
    <row r="17" spans="1:10">
      <c r="A17" s="133" t="s">
        <v>668</v>
      </c>
      <c r="B17" s="134" t="s">
        <v>662</v>
      </c>
      <c r="C17" s="176">
        <v>63067</v>
      </c>
      <c r="D17" s="176">
        <v>0</v>
      </c>
      <c r="E17" s="176">
        <v>63067</v>
      </c>
      <c r="F17" s="176"/>
      <c r="G17" s="176">
        <f t="shared" si="0"/>
        <v>0</v>
      </c>
      <c r="H17" s="176">
        <v>0</v>
      </c>
      <c r="I17" s="182">
        <f t="shared" si="1"/>
        <v>0</v>
      </c>
    </row>
    <row r="18" spans="1:10">
      <c r="A18" s="133" t="s">
        <v>669</v>
      </c>
      <c r="B18" s="134" t="s">
        <v>670</v>
      </c>
      <c r="C18" s="176">
        <v>2298584</v>
      </c>
      <c r="D18" s="176">
        <v>340283</v>
      </c>
      <c r="E18" s="176">
        <v>800000</v>
      </c>
      <c r="F18" s="176">
        <v>0</v>
      </c>
      <c r="G18" s="176">
        <f t="shared" si="0"/>
        <v>1838867</v>
      </c>
      <c r="H18" s="176">
        <f>G18*1.02</f>
        <v>1875644.34</v>
      </c>
      <c r="I18" s="182">
        <f t="shared" si="1"/>
        <v>1688079.9060000002</v>
      </c>
    </row>
    <row r="19" spans="1:10">
      <c r="A19" s="133" t="s">
        <v>671</v>
      </c>
      <c r="B19" s="134" t="s">
        <v>662</v>
      </c>
      <c r="C19" s="176">
        <v>289430</v>
      </c>
      <c r="D19" s="176">
        <v>0</v>
      </c>
      <c r="E19" s="176"/>
      <c r="F19" s="176">
        <v>120745</v>
      </c>
      <c r="G19" s="176">
        <f t="shared" si="0"/>
        <v>168685</v>
      </c>
      <c r="H19" s="176">
        <v>84342</v>
      </c>
      <c r="I19" s="182">
        <v>0</v>
      </c>
    </row>
    <row r="20" spans="1:10">
      <c r="A20" s="133" t="s">
        <v>672</v>
      </c>
      <c r="B20" s="134" t="s">
        <v>673</v>
      </c>
      <c r="C20" s="176"/>
      <c r="D20" s="176">
        <v>0</v>
      </c>
      <c r="E20" s="176">
        <v>0</v>
      </c>
      <c r="F20" s="176">
        <v>0</v>
      </c>
      <c r="G20" s="176">
        <f t="shared" si="0"/>
        <v>0</v>
      </c>
      <c r="H20" s="176">
        <v>0</v>
      </c>
      <c r="I20" s="182">
        <f t="shared" si="1"/>
        <v>0</v>
      </c>
    </row>
    <row r="21" spans="1:10">
      <c r="A21" s="181" t="s">
        <v>674</v>
      </c>
      <c r="B21" s="134" t="s">
        <v>662</v>
      </c>
      <c r="C21" s="176"/>
      <c r="D21" s="176">
        <v>0</v>
      </c>
      <c r="E21" s="176"/>
      <c r="F21" s="176"/>
      <c r="G21" s="176">
        <f t="shared" si="0"/>
        <v>0</v>
      </c>
      <c r="H21" s="176">
        <v>0</v>
      </c>
      <c r="I21" s="182">
        <f t="shared" si="1"/>
        <v>0</v>
      </c>
    </row>
    <row r="22" spans="1:10">
      <c r="A22" s="133" t="s">
        <v>675</v>
      </c>
      <c r="B22" s="134" t="s">
        <v>676</v>
      </c>
      <c r="C22" s="176">
        <v>605336</v>
      </c>
      <c r="D22" s="176">
        <v>0</v>
      </c>
      <c r="E22" s="176">
        <v>0</v>
      </c>
      <c r="F22" s="176">
        <v>400336</v>
      </c>
      <c r="G22" s="176">
        <f t="shared" si="0"/>
        <v>205000</v>
      </c>
      <c r="H22" s="176">
        <v>220000</v>
      </c>
      <c r="I22" s="182">
        <v>216000</v>
      </c>
    </row>
    <row r="23" spans="1:10">
      <c r="A23" s="133" t="s">
        <v>677</v>
      </c>
      <c r="B23" s="134" t="s">
        <v>662</v>
      </c>
      <c r="C23" s="176"/>
      <c r="D23" s="176"/>
      <c r="E23" s="176"/>
      <c r="F23" s="176"/>
      <c r="G23" s="176">
        <f t="shared" si="0"/>
        <v>0</v>
      </c>
      <c r="H23" s="176">
        <v>0</v>
      </c>
      <c r="I23" s="182">
        <v>0</v>
      </c>
    </row>
    <row r="24" spans="1:10">
      <c r="A24" s="133"/>
      <c r="B24" s="134" t="s">
        <v>678</v>
      </c>
      <c r="C24" s="176">
        <f>C12+C14+C16+C18+C20+C22</f>
        <v>10111205</v>
      </c>
      <c r="D24" s="176">
        <f t="shared" ref="D24:I24" si="2">D12+D14+D16+D18+D20+D22</f>
        <v>44291494</v>
      </c>
      <c r="E24" s="176">
        <f t="shared" si="2"/>
        <v>45097999</v>
      </c>
      <c r="F24" s="176">
        <f t="shared" si="2"/>
        <v>400336</v>
      </c>
      <c r="G24" s="176">
        <f t="shared" si="2"/>
        <v>8904364</v>
      </c>
      <c r="H24" s="176">
        <f t="shared" si="2"/>
        <v>8712789.9399999995</v>
      </c>
      <c r="I24" s="182">
        <f t="shared" si="2"/>
        <v>8091583.1460000006</v>
      </c>
    </row>
    <row r="25" spans="1:10" ht="12.75" thickBot="1">
      <c r="A25" s="183"/>
      <c r="B25" s="132" t="s">
        <v>679</v>
      </c>
      <c r="C25" s="184">
        <f>+C13+C15+C17+C19+C21+C23</f>
        <v>1031329</v>
      </c>
      <c r="D25" s="184">
        <f t="shared" ref="D25:I25" si="3">+D13+D15+D17+D19+D21+D23</f>
        <v>0</v>
      </c>
      <c r="E25" s="184">
        <f t="shared" si="3"/>
        <v>63067</v>
      </c>
      <c r="F25" s="184">
        <f t="shared" si="3"/>
        <v>336345</v>
      </c>
      <c r="G25" s="184">
        <f t="shared" si="3"/>
        <v>631917</v>
      </c>
      <c r="H25" s="184">
        <f t="shared" si="3"/>
        <v>314958</v>
      </c>
      <c r="I25" s="185">
        <f t="shared" si="3"/>
        <v>0</v>
      </c>
    </row>
    <row r="28" spans="1:10" ht="12.75">
      <c r="J28" s="86"/>
    </row>
    <row r="29" spans="1:10" ht="12.75">
      <c r="J29" s="86"/>
    </row>
    <row r="30" spans="1:10" ht="12.75">
      <c r="A30" s="1"/>
      <c r="B30" s="449" t="s">
        <v>851</v>
      </c>
      <c r="C30" s="1"/>
      <c r="D30" s="1" t="s">
        <v>852</v>
      </c>
      <c r="E30" s="1"/>
      <c r="F30" s="1"/>
      <c r="G30" s="48"/>
      <c r="H30" s="1" t="s">
        <v>853</v>
      </c>
      <c r="I30" s="1"/>
      <c r="J30" s="86"/>
    </row>
    <row r="31" spans="1:10" ht="12.75">
      <c r="A31" s="1"/>
      <c r="B31" s="449" t="s">
        <v>854</v>
      </c>
      <c r="C31" s="1"/>
      <c r="D31" s="1" t="s">
        <v>855</v>
      </c>
      <c r="E31" s="1"/>
      <c r="F31" s="1"/>
      <c r="G31" s="48"/>
      <c r="H31" s="1" t="s">
        <v>856</v>
      </c>
      <c r="I31" s="1"/>
      <c r="J31" s="86"/>
    </row>
    <row r="32" spans="1:10" ht="12.75">
      <c r="A32" s="1"/>
      <c r="B32" s="1"/>
      <c r="C32" s="1"/>
      <c r="D32" s="1"/>
      <c r="E32" s="1"/>
      <c r="F32" s="1"/>
      <c r="G32" s="48"/>
      <c r="H32" s="1"/>
      <c r="I32" s="1"/>
    </row>
    <row r="33" spans="1:9" ht="12.75">
      <c r="A33" s="1"/>
      <c r="B33" s="1"/>
      <c r="C33" s="1"/>
      <c r="D33" s="1"/>
      <c r="E33" s="1"/>
      <c r="F33" s="1"/>
      <c r="G33" s="48"/>
      <c r="H33" s="1"/>
      <c r="I33" s="1"/>
    </row>
  </sheetData>
  <mergeCells count="13">
    <mergeCell ref="E9:F9"/>
    <mergeCell ref="G9:G10"/>
    <mergeCell ref="H9:H10"/>
    <mergeCell ref="A1:D1"/>
    <mergeCell ref="A2:D2"/>
    <mergeCell ref="A3:D3"/>
    <mergeCell ref="B5:F5"/>
    <mergeCell ref="B4:F4"/>
    <mergeCell ref="I9:I10"/>
    <mergeCell ref="A9:A10"/>
    <mergeCell ref="B9:B10"/>
    <mergeCell ref="C9:C10"/>
    <mergeCell ref="D9:D10"/>
  </mergeCells>
  <phoneticPr fontId="21" type="noConversion"/>
  <pageMargins left="0.7" right="0.45" top="0.75" bottom="0.75" header="0.3" footer="0.3"/>
  <pageSetup paperSize="9" orientation="landscape" verticalDpi="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E11" sqref="E11"/>
    </sheetView>
  </sheetViews>
  <sheetFormatPr defaultRowHeight="12.75"/>
  <cols>
    <col min="1" max="1" width="6.42578125" style="1" customWidth="1"/>
    <col min="2" max="2" width="22.42578125" style="1" customWidth="1"/>
    <col min="3" max="3" width="11" style="1" customWidth="1"/>
    <col min="4" max="4" width="10.42578125" style="1" customWidth="1"/>
    <col min="5" max="5" width="10.140625" style="1" customWidth="1"/>
    <col min="6" max="6" width="10.7109375" style="1" customWidth="1"/>
    <col min="7" max="7" width="9.85546875" style="1" customWidth="1"/>
    <col min="8" max="8" width="11.28515625" style="1" customWidth="1"/>
    <col min="9" max="9" width="9.28515625" style="1" customWidth="1"/>
    <col min="10" max="10" width="11.28515625" style="1" customWidth="1"/>
    <col min="11" max="11" width="10.42578125" style="1" customWidth="1"/>
    <col min="12" max="12" width="11.85546875" style="1" customWidth="1"/>
    <col min="13" max="16384" width="9.140625" style="1"/>
  </cols>
  <sheetData>
    <row r="1" spans="1:12" customFormat="1">
      <c r="A1" s="580" t="s">
        <v>733</v>
      </c>
      <c r="B1" s="580"/>
      <c r="C1" s="580"/>
      <c r="D1" s="580"/>
      <c r="E1" s="327"/>
      <c r="F1" s="327"/>
      <c r="G1" s="327"/>
      <c r="H1" s="327"/>
      <c r="I1" s="327"/>
      <c r="J1" s="327"/>
      <c r="K1" s="327"/>
      <c r="L1" s="327"/>
    </row>
    <row r="2" spans="1:12" customFormat="1">
      <c r="A2" s="580" t="s">
        <v>734</v>
      </c>
      <c r="B2" s="580"/>
      <c r="C2" s="580"/>
      <c r="D2" s="580"/>
      <c r="E2" s="327"/>
      <c r="F2" s="327"/>
      <c r="G2" s="327"/>
      <c r="H2" s="327"/>
      <c r="I2" s="328"/>
      <c r="J2" s="327"/>
      <c r="K2" s="328" t="s">
        <v>84</v>
      </c>
      <c r="L2" s="327"/>
    </row>
    <row r="3" spans="1:12" customFormat="1">
      <c r="A3" s="580" t="s">
        <v>735</v>
      </c>
      <c r="B3" s="580"/>
      <c r="C3" s="580"/>
      <c r="D3" s="580"/>
      <c r="E3" s="327"/>
      <c r="F3" s="327"/>
      <c r="G3" s="327"/>
      <c r="H3" s="327"/>
      <c r="I3" s="327"/>
      <c r="J3" s="327"/>
      <c r="K3" s="327"/>
      <c r="L3" s="327"/>
    </row>
    <row r="4" spans="1:12" customFormat="1">
      <c r="A4" s="327"/>
      <c r="B4" s="327"/>
      <c r="C4" s="329" t="s">
        <v>86</v>
      </c>
      <c r="D4" s="327"/>
      <c r="E4" s="327"/>
      <c r="F4" s="327"/>
      <c r="G4" s="327"/>
      <c r="H4" s="327"/>
      <c r="I4" s="327"/>
      <c r="J4" s="327"/>
      <c r="K4" s="327"/>
      <c r="L4" s="327"/>
    </row>
    <row r="5" spans="1:12" customFormat="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</row>
    <row r="6" spans="1:12" customFormat="1">
      <c r="A6" s="327"/>
      <c r="B6" s="327"/>
      <c r="C6" s="327" t="s">
        <v>87</v>
      </c>
      <c r="D6" s="327"/>
      <c r="E6" s="327"/>
      <c r="F6" s="327"/>
      <c r="G6" s="327"/>
      <c r="H6" s="327"/>
      <c r="I6" s="327"/>
      <c r="J6" s="327"/>
      <c r="K6" s="327"/>
      <c r="L6" s="327"/>
    </row>
    <row r="7" spans="1:12" customFormat="1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</row>
    <row r="8" spans="1:12" customFormat="1" ht="13.5" thickBot="1">
      <c r="A8" s="327"/>
      <c r="B8" s="327"/>
      <c r="C8" s="327"/>
      <c r="D8" s="327"/>
      <c r="E8" s="327"/>
      <c r="F8" s="327"/>
      <c r="G8" s="327"/>
      <c r="H8" s="327"/>
      <c r="I8" s="327"/>
      <c r="J8" s="327"/>
      <c r="K8" s="327" t="s">
        <v>823</v>
      </c>
      <c r="L8" s="327"/>
    </row>
    <row r="9" spans="1:12" customFormat="1" ht="13.5" thickBot="1">
      <c r="A9" s="581" t="s">
        <v>656</v>
      </c>
      <c r="B9" s="584" t="s">
        <v>463</v>
      </c>
      <c r="C9" s="581" t="s">
        <v>680</v>
      </c>
      <c r="D9" s="587" t="s">
        <v>681</v>
      </c>
      <c r="E9" s="588"/>
      <c r="F9" s="588"/>
      <c r="G9" s="589"/>
      <c r="H9" s="593" t="s">
        <v>210</v>
      </c>
      <c r="I9" s="581" t="s">
        <v>682</v>
      </c>
      <c r="J9" s="581" t="s">
        <v>683</v>
      </c>
      <c r="K9" s="581" t="s">
        <v>684</v>
      </c>
      <c r="L9" s="590" t="s">
        <v>685</v>
      </c>
    </row>
    <row r="10" spans="1:12" customFormat="1" ht="13.5" thickBot="1">
      <c r="A10" s="582"/>
      <c r="B10" s="585"/>
      <c r="C10" s="582"/>
      <c r="D10" s="581" t="s">
        <v>686</v>
      </c>
      <c r="E10" s="587"/>
      <c r="F10" s="588"/>
      <c r="G10" s="589"/>
      <c r="H10" s="594"/>
      <c r="I10" s="582"/>
      <c r="J10" s="582"/>
      <c r="K10" s="582"/>
      <c r="L10" s="591"/>
    </row>
    <row r="11" spans="1:12" customFormat="1" ht="26.25" thickBot="1">
      <c r="A11" s="583"/>
      <c r="B11" s="586"/>
      <c r="C11" s="583"/>
      <c r="D11" s="583"/>
      <c r="E11" s="331" t="s">
        <v>687</v>
      </c>
      <c r="F11" s="332" t="s">
        <v>688</v>
      </c>
      <c r="G11" s="332" t="s">
        <v>689</v>
      </c>
      <c r="H11" s="595"/>
      <c r="I11" s="583"/>
      <c r="J11" s="583"/>
      <c r="K11" s="583"/>
      <c r="L11" s="592"/>
    </row>
    <row r="12" spans="1:12" customFormat="1" ht="13.5" thickBot="1">
      <c r="A12" s="346" t="s">
        <v>3</v>
      </c>
      <c r="B12" s="333" t="s">
        <v>71</v>
      </c>
      <c r="C12" s="333" t="s">
        <v>65</v>
      </c>
      <c r="D12" s="333" t="s">
        <v>209</v>
      </c>
      <c r="E12" s="333" t="s">
        <v>80</v>
      </c>
      <c r="F12" s="333" t="s">
        <v>67</v>
      </c>
      <c r="G12" s="333" t="s">
        <v>4</v>
      </c>
      <c r="H12" s="333" t="s">
        <v>690</v>
      </c>
      <c r="I12" s="333" t="s">
        <v>92</v>
      </c>
      <c r="J12" s="333" t="s">
        <v>691</v>
      </c>
      <c r="K12" s="333" t="s">
        <v>100</v>
      </c>
      <c r="L12" s="333" t="s">
        <v>692</v>
      </c>
    </row>
    <row r="13" spans="1:12" customFormat="1" ht="25.5">
      <c r="A13" s="348" t="s">
        <v>254</v>
      </c>
      <c r="B13" s="342" t="s">
        <v>693</v>
      </c>
      <c r="C13" s="334">
        <f t="shared" ref="C13:L13" si="0">C14+C15</f>
        <v>122184.02499999999</v>
      </c>
      <c r="D13" s="334">
        <f t="shared" si="0"/>
        <v>8991.2939999999999</v>
      </c>
      <c r="E13" s="334">
        <f t="shared" si="0"/>
        <v>0</v>
      </c>
      <c r="F13" s="334">
        <f t="shared" si="0"/>
        <v>0</v>
      </c>
      <c r="G13" s="334">
        <f t="shared" si="0"/>
        <v>8991.2939999999999</v>
      </c>
      <c r="H13" s="334">
        <f t="shared" si="0"/>
        <v>113192.731</v>
      </c>
      <c r="I13" s="334">
        <f t="shared" si="0"/>
        <v>8250</v>
      </c>
      <c r="J13" s="334">
        <f t="shared" si="0"/>
        <v>104942.731</v>
      </c>
      <c r="K13" s="334">
        <f t="shared" si="0"/>
        <v>400</v>
      </c>
      <c r="L13" s="341">
        <f t="shared" si="0"/>
        <v>104542.731</v>
      </c>
    </row>
    <row r="14" spans="1:12" customFormat="1" ht="25.5">
      <c r="A14" s="349" t="s">
        <v>694</v>
      </c>
      <c r="B14" s="343" t="s">
        <v>695</v>
      </c>
      <c r="C14" s="335">
        <v>46126.913</v>
      </c>
      <c r="D14" s="336">
        <f>E14+F14+G14</f>
        <v>7991.2939999999999</v>
      </c>
      <c r="E14" s="336"/>
      <c r="F14" s="336"/>
      <c r="G14" s="336">
        <v>7991.2939999999999</v>
      </c>
      <c r="H14" s="336">
        <f>C14-D14</f>
        <v>38135.618999999999</v>
      </c>
      <c r="I14" s="336">
        <v>5000</v>
      </c>
      <c r="J14" s="336">
        <f>H14-I14</f>
        <v>33135.618999999999</v>
      </c>
      <c r="K14" s="336">
        <v>150</v>
      </c>
      <c r="L14" s="337">
        <f>J14-K14</f>
        <v>32985.618999999999</v>
      </c>
    </row>
    <row r="15" spans="1:12" customFormat="1" ht="25.5">
      <c r="A15" s="349" t="s">
        <v>696</v>
      </c>
      <c r="B15" s="344" t="s">
        <v>787</v>
      </c>
      <c r="C15" s="335">
        <v>76057.111999999994</v>
      </c>
      <c r="D15" s="336">
        <f>E15+F15+G15</f>
        <v>1000</v>
      </c>
      <c r="E15" s="336"/>
      <c r="F15" s="336"/>
      <c r="G15" s="336">
        <v>1000</v>
      </c>
      <c r="H15" s="336">
        <f>C15-D15</f>
        <v>75057.111999999994</v>
      </c>
      <c r="I15" s="336">
        <v>3250</v>
      </c>
      <c r="J15" s="336">
        <f>H15-I15</f>
        <v>71807.111999999994</v>
      </c>
      <c r="K15" s="336">
        <v>250</v>
      </c>
      <c r="L15" s="337">
        <f>J15-K15</f>
        <v>71557.111999999994</v>
      </c>
    </row>
    <row r="16" spans="1:12" customFormat="1">
      <c r="A16" s="348"/>
      <c r="B16" s="344"/>
      <c r="C16" s="335"/>
      <c r="D16" s="336"/>
      <c r="E16" s="336"/>
      <c r="F16" s="336"/>
      <c r="G16" s="336"/>
      <c r="H16" s="336"/>
      <c r="I16" s="336"/>
      <c r="J16" s="336"/>
      <c r="K16" s="336"/>
      <c r="L16" s="337"/>
    </row>
    <row r="17" spans="1:12" customFormat="1">
      <c r="A17" s="348"/>
      <c r="B17" s="344"/>
      <c r="C17" s="335"/>
      <c r="D17" s="336"/>
      <c r="E17" s="336"/>
      <c r="F17" s="336"/>
      <c r="G17" s="336"/>
      <c r="H17" s="336"/>
      <c r="I17" s="336"/>
      <c r="J17" s="336"/>
      <c r="K17" s="336"/>
      <c r="L17" s="337"/>
    </row>
    <row r="18" spans="1:12" customFormat="1" ht="38.25">
      <c r="A18" s="348" t="s">
        <v>663</v>
      </c>
      <c r="B18" s="345" t="s">
        <v>697</v>
      </c>
      <c r="C18" s="336">
        <f t="shared" ref="C18:H18" si="1">C19+C20</f>
        <v>121149.337</v>
      </c>
      <c r="D18" s="336">
        <f t="shared" si="1"/>
        <v>-1034.9660000000003</v>
      </c>
      <c r="E18" s="336">
        <f t="shared" si="1"/>
        <v>21213.034</v>
      </c>
      <c r="F18" s="336">
        <f t="shared" si="1"/>
        <v>-22248</v>
      </c>
      <c r="G18" s="336">
        <f t="shared" si="1"/>
        <v>0</v>
      </c>
      <c r="H18" s="336">
        <f t="shared" si="1"/>
        <v>122184.303</v>
      </c>
      <c r="I18" s="336">
        <v>0</v>
      </c>
      <c r="J18" s="336">
        <v>0</v>
      </c>
      <c r="K18" s="336">
        <v>0</v>
      </c>
      <c r="L18" s="337">
        <v>0</v>
      </c>
    </row>
    <row r="19" spans="1:12" customFormat="1" ht="25.5">
      <c r="A19" s="349" t="s">
        <v>698</v>
      </c>
      <c r="B19" s="343" t="s">
        <v>695</v>
      </c>
      <c r="C19" s="335">
        <v>67339.947</v>
      </c>
      <c r="D19" s="336">
        <f>E19+F19+G19</f>
        <v>21213.034</v>
      </c>
      <c r="E19" s="336">
        <v>21213.034</v>
      </c>
      <c r="F19" s="336"/>
      <c r="G19" s="336"/>
      <c r="H19" s="336">
        <f>C19-D19</f>
        <v>46126.913</v>
      </c>
      <c r="I19" s="336"/>
      <c r="J19" s="336">
        <v>0</v>
      </c>
      <c r="K19" s="336"/>
      <c r="L19" s="337">
        <v>0</v>
      </c>
    </row>
    <row r="20" spans="1:12" customFormat="1" ht="25.5">
      <c r="A20" s="349" t="s">
        <v>699</v>
      </c>
      <c r="B20" s="344" t="s">
        <v>787</v>
      </c>
      <c r="C20" s="335">
        <v>53809.39</v>
      </c>
      <c r="D20" s="336">
        <f>E20+F20+G20</f>
        <v>-22248</v>
      </c>
      <c r="E20" s="336"/>
      <c r="F20" s="336">
        <v>-22248</v>
      </c>
      <c r="G20" s="336"/>
      <c r="H20" s="336">
        <f>C20-D20</f>
        <v>76057.39</v>
      </c>
      <c r="I20" s="336"/>
      <c r="J20" s="336">
        <v>0</v>
      </c>
      <c r="K20" s="336"/>
      <c r="L20" s="337">
        <v>0</v>
      </c>
    </row>
    <row r="21" spans="1:12" customFormat="1">
      <c r="A21" s="348"/>
      <c r="B21" s="344"/>
      <c r="C21" s="335"/>
      <c r="D21" s="336"/>
      <c r="E21" s="336"/>
      <c r="F21" s="336"/>
      <c r="G21" s="336"/>
      <c r="H21" s="336"/>
      <c r="I21" s="336"/>
      <c r="J21" s="336"/>
      <c r="K21" s="336"/>
      <c r="L21" s="337"/>
    </row>
    <row r="22" spans="1:12" customFormat="1">
      <c r="A22" s="348"/>
      <c r="B22" s="344"/>
      <c r="C22" s="335"/>
      <c r="D22" s="336"/>
      <c r="E22" s="336"/>
      <c r="F22" s="336"/>
      <c r="G22" s="336"/>
      <c r="H22" s="336"/>
      <c r="I22" s="336"/>
      <c r="J22" s="336"/>
      <c r="K22" s="336"/>
      <c r="L22" s="337"/>
    </row>
    <row r="23" spans="1:12" customFormat="1" ht="13.5" thickBot="1">
      <c r="A23" s="350"/>
      <c r="B23" s="347"/>
      <c r="C23" s="338"/>
      <c r="D23" s="339"/>
      <c r="E23" s="339"/>
      <c r="F23" s="339"/>
      <c r="G23" s="339"/>
      <c r="H23" s="339"/>
      <c r="I23" s="339"/>
      <c r="J23" s="339"/>
      <c r="K23" s="339"/>
      <c r="L23" s="340"/>
    </row>
    <row r="25" spans="1:12">
      <c r="D25" s="1" t="s">
        <v>771</v>
      </c>
      <c r="G25" s="1" t="s">
        <v>770</v>
      </c>
    </row>
    <row r="26" spans="1:12">
      <c r="D26" s="1" t="s">
        <v>772</v>
      </c>
      <c r="G26" s="1" t="s">
        <v>773</v>
      </c>
    </row>
    <row r="27" spans="1:12">
      <c r="H27" s="48"/>
      <c r="K27" s="86"/>
    </row>
    <row r="28" spans="1:12">
      <c r="F28" s="48"/>
      <c r="K28" s="86"/>
    </row>
    <row r="29" spans="1:12">
      <c r="F29" s="48"/>
      <c r="K29" s="86"/>
    </row>
    <row r="30" spans="1:12">
      <c r="H30" s="48"/>
      <c r="K30" s="86"/>
    </row>
  </sheetData>
  <mergeCells count="14">
    <mergeCell ref="J9:J11"/>
    <mergeCell ref="K9:K11"/>
    <mergeCell ref="L9:L11"/>
    <mergeCell ref="D10:D11"/>
    <mergeCell ref="E10:G10"/>
    <mergeCell ref="H9:H11"/>
    <mergeCell ref="I9:I11"/>
    <mergeCell ref="A1:D1"/>
    <mergeCell ref="A2:D2"/>
    <mergeCell ref="A3:D3"/>
    <mergeCell ref="A9:A11"/>
    <mergeCell ref="B9:B11"/>
    <mergeCell ref="C9:C11"/>
    <mergeCell ref="D9:G9"/>
  </mergeCells>
  <phoneticPr fontId="21" type="noConversion"/>
  <pageMargins left="0.25" right="0.25" top="0.75" bottom="0.75" header="0.3" footer="0.3"/>
  <pageSetup orientation="landscape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55"/>
  <sheetViews>
    <sheetView workbookViewId="0">
      <selection activeCell="V23" sqref="V23"/>
    </sheetView>
  </sheetViews>
  <sheetFormatPr defaultRowHeight="11.25"/>
  <cols>
    <col min="1" max="1" width="11.5703125" style="135" customWidth="1"/>
    <col min="2" max="2" width="7.7109375" style="135" customWidth="1"/>
    <col min="3" max="3" width="7.85546875" style="371" customWidth="1"/>
    <col min="4" max="4" width="5.140625" style="365" customWidth="1"/>
    <col min="5" max="5" width="8.140625" style="135" customWidth="1"/>
    <col min="6" max="6" width="7.140625" style="135" customWidth="1"/>
    <col min="7" max="7" width="6.7109375" style="135" customWidth="1"/>
    <col min="8" max="8" width="7.28515625" style="135" customWidth="1"/>
    <col min="9" max="9" width="4.28515625" style="135" customWidth="1"/>
    <col min="10" max="10" width="5.42578125" style="135" customWidth="1"/>
    <col min="11" max="11" width="6.42578125" style="135" customWidth="1"/>
    <col min="12" max="12" width="6.140625" style="135" customWidth="1"/>
    <col min="13" max="13" width="6.7109375" style="135" customWidth="1"/>
    <col min="14" max="14" width="3.5703125" style="135" customWidth="1"/>
    <col min="15" max="15" width="3.7109375" style="135" customWidth="1"/>
    <col min="16" max="16" width="6.7109375" style="135" customWidth="1"/>
    <col min="17" max="17" width="6.140625" style="135" customWidth="1"/>
    <col min="18" max="18" width="7.140625" style="135" customWidth="1"/>
    <col min="19" max="19" width="4.42578125" style="135" customWidth="1"/>
    <col min="20" max="20" width="3.28515625" style="135" customWidth="1"/>
    <col min="21" max="16384" width="9.140625" style="135"/>
  </cols>
  <sheetData>
    <row r="1" spans="1:25" ht="13.5" customHeight="1">
      <c r="A1" s="351"/>
      <c r="B1" s="580" t="s">
        <v>733</v>
      </c>
      <c r="C1" s="580"/>
      <c r="D1" s="580"/>
      <c r="E1" s="580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136"/>
      <c r="V1" s="136"/>
      <c r="W1" s="136"/>
      <c r="X1" s="136"/>
      <c r="Y1" s="136"/>
    </row>
    <row r="2" spans="1:25" ht="13.5" customHeight="1">
      <c r="A2" s="351"/>
      <c r="B2" s="580" t="s">
        <v>734</v>
      </c>
      <c r="C2" s="580"/>
      <c r="D2" s="580"/>
      <c r="E2" s="580"/>
      <c r="F2" s="351"/>
      <c r="G2" s="351"/>
      <c r="H2" s="351"/>
      <c r="I2" s="351"/>
      <c r="J2" s="352"/>
      <c r="K2" s="351"/>
      <c r="L2" s="351"/>
      <c r="M2" s="352"/>
      <c r="N2" s="352"/>
      <c r="O2" s="351"/>
      <c r="P2" s="352" t="s">
        <v>90</v>
      </c>
      <c r="Q2" s="352"/>
      <c r="R2" s="351"/>
      <c r="S2" s="352"/>
      <c r="T2" s="351"/>
      <c r="U2" s="136"/>
      <c r="V2" s="136"/>
      <c r="W2" s="136"/>
      <c r="X2" s="136"/>
      <c r="Y2" s="136"/>
    </row>
    <row r="3" spans="1:25" ht="13.5" customHeight="1">
      <c r="A3" s="351"/>
      <c r="B3" s="580" t="s">
        <v>735</v>
      </c>
      <c r="C3" s="580"/>
      <c r="D3" s="580"/>
      <c r="E3" s="580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136"/>
      <c r="V3" s="136"/>
      <c r="W3" s="136"/>
      <c r="X3" s="136"/>
      <c r="Y3" s="136"/>
    </row>
    <row r="4" spans="1:25" ht="13.5" customHeight="1">
      <c r="A4" s="351"/>
      <c r="B4" s="351"/>
      <c r="C4" s="368"/>
      <c r="D4" s="363"/>
      <c r="E4" s="351"/>
      <c r="F4" s="351"/>
      <c r="G4" s="329" t="s">
        <v>88</v>
      </c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136"/>
      <c r="V4" s="136"/>
      <c r="W4" s="136"/>
      <c r="X4" s="136"/>
      <c r="Y4" s="136"/>
    </row>
    <row r="5" spans="1:25" ht="13.5" customHeight="1" thickBot="1">
      <c r="A5" s="351"/>
      <c r="B5" s="351"/>
      <c r="C5" s="369" t="s">
        <v>797</v>
      </c>
      <c r="D5" s="363"/>
      <c r="E5" s="351"/>
      <c r="F5" s="351"/>
      <c r="G5" s="353" t="s">
        <v>169</v>
      </c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 t="s">
        <v>824</v>
      </c>
      <c r="T5" s="351"/>
      <c r="U5" s="136"/>
      <c r="V5" s="136"/>
      <c r="W5" s="136"/>
      <c r="X5" s="136"/>
      <c r="Y5" s="136"/>
    </row>
    <row r="6" spans="1:25" ht="13.5" customHeight="1">
      <c r="A6" s="607" t="s">
        <v>441</v>
      </c>
      <c r="B6" s="608"/>
      <c r="C6" s="611" t="s">
        <v>442</v>
      </c>
      <c r="D6" s="613" t="s">
        <v>443</v>
      </c>
      <c r="E6" s="615" t="s">
        <v>444</v>
      </c>
      <c r="F6" s="598" t="s">
        <v>445</v>
      </c>
      <c r="G6" s="598"/>
      <c r="H6" s="598"/>
      <c r="I6" s="598"/>
      <c r="J6" s="598"/>
      <c r="K6" s="598" t="s">
        <v>446</v>
      </c>
      <c r="L6" s="598"/>
      <c r="M6" s="598"/>
      <c r="N6" s="598"/>
      <c r="O6" s="598"/>
      <c r="P6" s="599" t="s">
        <v>796</v>
      </c>
      <c r="Q6" s="600"/>
      <c r="R6" s="600"/>
      <c r="S6" s="600"/>
      <c r="T6" s="601"/>
      <c r="U6" s="136"/>
      <c r="V6" s="136"/>
      <c r="W6" s="136"/>
      <c r="X6" s="136"/>
      <c r="Y6" s="136"/>
    </row>
    <row r="7" spans="1:25" ht="102.75" customHeight="1">
      <c r="A7" s="609"/>
      <c r="B7" s="610"/>
      <c r="C7" s="612"/>
      <c r="D7" s="614"/>
      <c r="E7" s="616"/>
      <c r="F7" s="354" t="s">
        <v>447</v>
      </c>
      <c r="G7" s="355" t="s">
        <v>448</v>
      </c>
      <c r="H7" s="355" t="s">
        <v>449</v>
      </c>
      <c r="I7" s="356" t="s">
        <v>450</v>
      </c>
      <c r="J7" s="356" t="s">
        <v>451</v>
      </c>
      <c r="K7" s="356" t="s">
        <v>447</v>
      </c>
      <c r="L7" s="355" t="s">
        <v>448</v>
      </c>
      <c r="M7" s="355" t="s">
        <v>449</v>
      </c>
      <c r="N7" s="356" t="s">
        <v>452</v>
      </c>
      <c r="O7" s="356" t="s">
        <v>451</v>
      </c>
      <c r="P7" s="354" t="s">
        <v>447</v>
      </c>
      <c r="Q7" s="359" t="s">
        <v>448</v>
      </c>
      <c r="R7" s="359" t="s">
        <v>449</v>
      </c>
      <c r="S7" s="356" t="s">
        <v>450</v>
      </c>
      <c r="T7" s="374" t="s">
        <v>456</v>
      </c>
      <c r="U7" s="136"/>
      <c r="V7" s="136"/>
      <c r="W7" s="136"/>
      <c r="X7" s="136"/>
      <c r="Y7" s="136"/>
    </row>
    <row r="8" spans="1:25" ht="12" customHeight="1" thickBot="1">
      <c r="A8" s="602" t="s">
        <v>96</v>
      </c>
      <c r="B8" s="603"/>
      <c r="C8" s="370" t="s">
        <v>3</v>
      </c>
      <c r="D8" s="364">
        <v>2</v>
      </c>
      <c r="E8" s="357" t="s">
        <v>65</v>
      </c>
      <c r="F8" s="357" t="s">
        <v>66</v>
      </c>
      <c r="G8" s="357" t="s">
        <v>80</v>
      </c>
      <c r="H8" s="357" t="s">
        <v>67</v>
      </c>
      <c r="I8" s="357" t="s">
        <v>4</v>
      </c>
      <c r="J8" s="357" t="s">
        <v>68</v>
      </c>
      <c r="K8" s="357" t="s">
        <v>92</v>
      </c>
      <c r="L8" s="357" t="s">
        <v>98</v>
      </c>
      <c r="M8" s="357" t="s">
        <v>100</v>
      </c>
      <c r="N8" s="357" t="s">
        <v>102</v>
      </c>
      <c r="O8" s="357" t="s">
        <v>103</v>
      </c>
      <c r="P8" s="357" t="s">
        <v>104</v>
      </c>
      <c r="Q8" s="357" t="s">
        <v>106</v>
      </c>
      <c r="R8" s="357">
        <v>16</v>
      </c>
      <c r="S8" s="357">
        <v>17</v>
      </c>
      <c r="T8" s="358" t="s">
        <v>109</v>
      </c>
      <c r="U8" s="136"/>
      <c r="V8" s="136"/>
      <c r="W8" s="136"/>
      <c r="X8" s="136"/>
      <c r="Y8" s="136"/>
    </row>
    <row r="9" spans="1:25" ht="13.5" customHeight="1">
      <c r="A9" s="604" t="s">
        <v>453</v>
      </c>
      <c r="B9" s="605"/>
      <c r="C9" s="605"/>
      <c r="D9" s="605"/>
      <c r="E9" s="605"/>
      <c r="F9" s="605"/>
      <c r="G9" s="605"/>
      <c r="H9" s="605"/>
      <c r="I9" s="605"/>
      <c r="J9" s="605"/>
      <c r="K9" s="605"/>
      <c r="L9" s="605"/>
      <c r="M9" s="605"/>
      <c r="N9" s="605"/>
      <c r="O9" s="605"/>
      <c r="P9" s="605"/>
      <c r="Q9" s="605"/>
      <c r="R9" s="605"/>
      <c r="S9" s="605"/>
      <c r="T9" s="606"/>
      <c r="U9" s="136"/>
      <c r="V9" s="136"/>
      <c r="W9" s="136"/>
      <c r="X9" s="136"/>
      <c r="Y9" s="136"/>
    </row>
    <row r="10" spans="1:25" ht="13.5" customHeight="1">
      <c r="A10" s="361" t="s">
        <v>788</v>
      </c>
      <c r="B10" s="362" t="s">
        <v>93</v>
      </c>
      <c r="C10" s="433"/>
      <c r="D10" s="434"/>
      <c r="E10" s="434"/>
      <c r="F10" s="434"/>
      <c r="G10" s="434"/>
      <c r="H10" s="434"/>
      <c r="I10" s="434"/>
      <c r="J10" s="434"/>
      <c r="K10" s="434"/>
      <c r="L10" s="434"/>
      <c r="M10" s="434">
        <v>0</v>
      </c>
      <c r="N10" s="434"/>
      <c r="O10" s="434"/>
      <c r="P10" s="434"/>
      <c r="Q10" s="434">
        <v>0</v>
      </c>
      <c r="R10" s="434">
        <v>0</v>
      </c>
      <c r="S10" s="434"/>
      <c r="T10" s="435"/>
      <c r="U10" s="136"/>
      <c r="V10" s="136"/>
      <c r="W10" s="136"/>
      <c r="X10" s="136"/>
      <c r="Y10" s="136"/>
    </row>
    <row r="11" spans="1:25" ht="13.5" customHeight="1">
      <c r="A11" s="361"/>
      <c r="B11" s="362" t="s">
        <v>454</v>
      </c>
      <c r="C11" s="434">
        <v>8879.2369999999992</v>
      </c>
      <c r="D11" s="434"/>
      <c r="E11" s="434">
        <v>8209.7639999999992</v>
      </c>
      <c r="F11" s="434">
        <f>G11+H11+I11+J11</f>
        <v>941</v>
      </c>
      <c r="G11" s="434"/>
      <c r="H11" s="434">
        <v>800</v>
      </c>
      <c r="I11" s="434"/>
      <c r="J11" s="434">
        <v>141</v>
      </c>
      <c r="K11" s="434">
        <f>L11+M11+N11+O11</f>
        <v>941</v>
      </c>
      <c r="L11" s="434"/>
      <c r="M11" s="434">
        <v>800</v>
      </c>
      <c r="N11" s="434"/>
      <c r="O11" s="434">
        <v>141</v>
      </c>
      <c r="P11" s="434">
        <f>Q11+R11+S11+T11</f>
        <v>8545.0639999999985</v>
      </c>
      <c r="Q11" s="434">
        <v>8209.7639999999992</v>
      </c>
      <c r="R11" s="434">
        <v>335.3</v>
      </c>
      <c r="S11" s="434"/>
      <c r="T11" s="436"/>
      <c r="U11" s="136"/>
      <c r="V11" s="136"/>
      <c r="W11" s="136"/>
      <c r="X11" s="136"/>
      <c r="Y11" s="136"/>
    </row>
    <row r="12" spans="1:25" ht="13.5" customHeight="1">
      <c r="A12" s="361"/>
      <c r="B12" s="362" t="s">
        <v>191</v>
      </c>
      <c r="C12" s="434">
        <v>0</v>
      </c>
      <c r="D12" s="433"/>
      <c r="E12" s="434">
        <v>0</v>
      </c>
      <c r="F12" s="434"/>
      <c r="G12" s="434"/>
      <c r="H12" s="434">
        <v>0</v>
      </c>
      <c r="I12" s="434"/>
      <c r="J12" s="434">
        <v>0</v>
      </c>
      <c r="K12" s="434"/>
      <c r="L12" s="434"/>
      <c r="M12" s="434">
        <v>0</v>
      </c>
      <c r="N12" s="434"/>
      <c r="O12" s="434">
        <v>0</v>
      </c>
      <c r="P12" s="434"/>
      <c r="Q12" s="434">
        <v>0</v>
      </c>
      <c r="R12" s="434">
        <v>0</v>
      </c>
      <c r="S12" s="434"/>
      <c r="T12" s="436"/>
      <c r="U12" s="136"/>
      <c r="V12" s="136"/>
      <c r="W12" s="136"/>
      <c r="X12" s="136"/>
      <c r="Y12" s="136"/>
    </row>
    <row r="13" spans="1:25" ht="13.5" customHeight="1">
      <c r="A13" s="361" t="s">
        <v>789</v>
      </c>
      <c r="B13" s="362" t="s">
        <v>149</v>
      </c>
      <c r="C13" s="434">
        <v>0</v>
      </c>
      <c r="D13" s="433"/>
      <c r="E13" s="434">
        <v>0</v>
      </c>
      <c r="F13" s="434"/>
      <c r="G13" s="434"/>
      <c r="H13" s="434">
        <v>0</v>
      </c>
      <c r="I13" s="434"/>
      <c r="J13" s="434">
        <v>0</v>
      </c>
      <c r="K13" s="434"/>
      <c r="L13" s="434"/>
      <c r="M13" s="434">
        <v>0</v>
      </c>
      <c r="N13" s="434"/>
      <c r="O13" s="434">
        <v>0</v>
      </c>
      <c r="P13" s="434"/>
      <c r="Q13" s="434">
        <v>0</v>
      </c>
      <c r="R13" s="434">
        <v>0</v>
      </c>
      <c r="S13" s="434"/>
      <c r="T13" s="436"/>
      <c r="U13" s="136"/>
      <c r="V13" s="136"/>
      <c r="W13" s="136"/>
      <c r="X13" s="136"/>
      <c r="Y13" s="136"/>
    </row>
    <row r="14" spans="1:25" ht="13.5" customHeight="1">
      <c r="A14" s="361"/>
      <c r="B14" s="362" t="s">
        <v>215</v>
      </c>
      <c r="C14" s="434">
        <v>8000</v>
      </c>
      <c r="D14" s="433"/>
      <c r="E14" s="434">
        <v>7941.4740000000002</v>
      </c>
      <c r="F14" s="434">
        <f>G14+H14+I14+J14</f>
        <v>875</v>
      </c>
      <c r="G14" s="434"/>
      <c r="H14" s="434">
        <v>850</v>
      </c>
      <c r="I14" s="434"/>
      <c r="J14" s="434">
        <v>25</v>
      </c>
      <c r="K14" s="434">
        <f>L14+M14+N14+O14</f>
        <v>875</v>
      </c>
      <c r="L14" s="434"/>
      <c r="M14" s="434">
        <v>850</v>
      </c>
      <c r="N14" s="434"/>
      <c r="O14" s="434">
        <v>25</v>
      </c>
      <c r="P14" s="434">
        <f>Q14+R14+S14+T14</f>
        <v>8295.4740000000002</v>
      </c>
      <c r="Q14" s="434">
        <v>7941.4740000000002</v>
      </c>
      <c r="R14" s="434">
        <v>354</v>
      </c>
      <c r="S14" s="434"/>
      <c r="T14" s="436"/>
      <c r="U14" s="136"/>
      <c r="V14" s="136"/>
      <c r="W14" s="136"/>
      <c r="X14" s="136"/>
      <c r="Y14" s="136"/>
    </row>
    <row r="15" spans="1:25" ht="13.5" customHeight="1">
      <c r="A15" s="361"/>
      <c r="B15" s="362" t="s">
        <v>239</v>
      </c>
      <c r="C15" s="434">
        <v>0</v>
      </c>
      <c r="D15" s="433"/>
      <c r="E15" s="434">
        <v>0</v>
      </c>
      <c r="F15" s="434"/>
      <c r="G15" s="434"/>
      <c r="H15" s="434">
        <v>0</v>
      </c>
      <c r="I15" s="434"/>
      <c r="J15" s="434">
        <v>0</v>
      </c>
      <c r="K15" s="434"/>
      <c r="L15" s="434"/>
      <c r="M15" s="434">
        <v>0</v>
      </c>
      <c r="N15" s="434"/>
      <c r="O15" s="434">
        <v>0</v>
      </c>
      <c r="P15" s="434"/>
      <c r="Q15" s="434">
        <v>0</v>
      </c>
      <c r="R15" s="434">
        <v>0</v>
      </c>
      <c r="S15" s="434"/>
      <c r="T15" s="436"/>
      <c r="U15" s="136"/>
      <c r="V15" s="136"/>
      <c r="W15" s="136"/>
      <c r="X15" s="136"/>
      <c r="Y15" s="136"/>
    </row>
    <row r="16" spans="1:25" ht="13.5" customHeight="1">
      <c r="A16" s="361" t="s">
        <v>790</v>
      </c>
      <c r="B16" s="362" t="s">
        <v>791</v>
      </c>
      <c r="C16" s="434">
        <v>0</v>
      </c>
      <c r="D16" s="433"/>
      <c r="E16" s="434">
        <v>0</v>
      </c>
      <c r="F16" s="434"/>
      <c r="G16" s="434"/>
      <c r="H16" s="434">
        <v>0</v>
      </c>
      <c r="I16" s="434"/>
      <c r="J16" s="434">
        <v>0</v>
      </c>
      <c r="K16" s="434"/>
      <c r="L16" s="434"/>
      <c r="M16" s="434">
        <v>0</v>
      </c>
      <c r="N16" s="434"/>
      <c r="O16" s="434">
        <v>0</v>
      </c>
      <c r="P16" s="434"/>
      <c r="Q16" s="434">
        <v>0</v>
      </c>
      <c r="R16" s="434">
        <v>0</v>
      </c>
      <c r="S16" s="434"/>
      <c r="T16" s="436"/>
      <c r="U16" s="136"/>
      <c r="V16" s="136"/>
      <c r="W16" s="136"/>
      <c r="X16" s="136"/>
      <c r="Y16" s="136"/>
    </row>
    <row r="17" spans="1:25" ht="13.5" customHeight="1">
      <c r="A17" s="375"/>
      <c r="B17" s="367" t="s">
        <v>514</v>
      </c>
      <c r="C17" s="434">
        <v>50000</v>
      </c>
      <c r="D17" s="433">
        <v>3</v>
      </c>
      <c r="E17" s="434">
        <v>25000</v>
      </c>
      <c r="F17" s="434">
        <f>G17+H17+I17+J17</f>
        <v>7911.7139999999999</v>
      </c>
      <c r="G17" s="434">
        <v>6250</v>
      </c>
      <c r="H17" s="434">
        <v>1583.7139999999999</v>
      </c>
      <c r="I17" s="434"/>
      <c r="J17" s="434">
        <v>78</v>
      </c>
      <c r="K17" s="434">
        <f>L17+M17+N17+O17</f>
        <v>1661.7139999999999</v>
      </c>
      <c r="L17" s="434"/>
      <c r="M17" s="434">
        <v>1583.7139999999999</v>
      </c>
      <c r="N17" s="434"/>
      <c r="O17" s="434">
        <v>78</v>
      </c>
      <c r="P17" s="434">
        <f>Q17+R17+S17+T17</f>
        <v>19409.8</v>
      </c>
      <c r="Q17" s="434">
        <v>18750</v>
      </c>
      <c r="R17" s="434">
        <v>659.8</v>
      </c>
      <c r="S17" s="434"/>
      <c r="T17" s="436"/>
      <c r="U17" s="136"/>
      <c r="V17" s="136"/>
      <c r="W17" s="136"/>
      <c r="X17" s="136"/>
      <c r="Y17" s="136"/>
    </row>
    <row r="18" spans="1:25" ht="13.5" customHeight="1">
      <c r="A18" s="375" t="s">
        <v>794</v>
      </c>
      <c r="B18" s="367" t="s">
        <v>792</v>
      </c>
      <c r="C18" s="434">
        <v>0</v>
      </c>
      <c r="D18" s="433"/>
      <c r="E18" s="434">
        <v>0</v>
      </c>
      <c r="F18" s="434"/>
      <c r="G18" s="434">
        <v>0</v>
      </c>
      <c r="H18" s="434">
        <v>0</v>
      </c>
      <c r="I18" s="434"/>
      <c r="J18" s="434"/>
      <c r="K18" s="434"/>
      <c r="L18" s="434"/>
      <c r="M18" s="434">
        <v>0</v>
      </c>
      <c r="N18" s="434"/>
      <c r="O18" s="434">
        <v>0</v>
      </c>
      <c r="P18" s="434"/>
      <c r="Q18" s="434">
        <v>0</v>
      </c>
      <c r="R18" s="434">
        <v>0</v>
      </c>
      <c r="S18" s="434"/>
      <c r="T18" s="436"/>
      <c r="U18" s="136"/>
      <c r="V18" s="136"/>
      <c r="W18" s="136"/>
      <c r="X18" s="136"/>
      <c r="Y18" s="136"/>
    </row>
    <row r="19" spans="1:25" ht="13.5" customHeight="1">
      <c r="A19" s="376"/>
      <c r="B19" s="367" t="s">
        <v>321</v>
      </c>
      <c r="C19" s="434">
        <v>5000</v>
      </c>
      <c r="D19" s="433"/>
      <c r="E19" s="434">
        <v>2980</v>
      </c>
      <c r="F19" s="434">
        <f>G19+H19+I19+J19</f>
        <v>3048.9279999999999</v>
      </c>
      <c r="G19" s="434">
        <v>2980.7570000000001</v>
      </c>
      <c r="H19" s="434">
        <v>68.171000000000006</v>
      </c>
      <c r="I19" s="434"/>
      <c r="J19" s="434"/>
      <c r="K19" s="434"/>
      <c r="L19" s="434"/>
      <c r="M19" s="434">
        <v>0</v>
      </c>
      <c r="N19" s="434"/>
      <c r="O19" s="434">
        <v>0</v>
      </c>
      <c r="P19" s="434"/>
      <c r="Q19" s="434">
        <v>0</v>
      </c>
      <c r="R19" s="434">
        <v>0</v>
      </c>
      <c r="S19" s="434"/>
      <c r="T19" s="436"/>
      <c r="U19" s="136"/>
      <c r="V19" s="136"/>
      <c r="W19" s="136"/>
      <c r="X19" s="136"/>
      <c r="Y19" s="136"/>
    </row>
    <row r="20" spans="1:25">
      <c r="A20" s="376" t="s">
        <v>244</v>
      </c>
      <c r="B20" s="367"/>
      <c r="C20" s="434">
        <f>(C11+C14+C17+C19)</f>
        <v>71879.236999999994</v>
      </c>
      <c r="D20" s="433"/>
      <c r="E20" s="434">
        <f>(E11+E14+E17+E19)</f>
        <v>44131.237999999998</v>
      </c>
      <c r="F20" s="434">
        <f>F11+F14+F17+F19</f>
        <v>12776.642</v>
      </c>
      <c r="G20" s="434">
        <f>G11+G14+G17+G19</f>
        <v>9230.7569999999996</v>
      </c>
      <c r="H20" s="434">
        <f>H11+H14+H17+H19</f>
        <v>3301.8849999999998</v>
      </c>
      <c r="I20" s="434"/>
      <c r="J20" s="434">
        <f>J11+J14+J17+J19</f>
        <v>244</v>
      </c>
      <c r="K20" s="434"/>
      <c r="L20" s="434"/>
      <c r="M20" s="434">
        <v>0</v>
      </c>
      <c r="N20" s="434"/>
      <c r="O20" s="434">
        <v>0</v>
      </c>
      <c r="P20" s="434"/>
      <c r="Q20" s="434">
        <v>0</v>
      </c>
      <c r="R20" s="434">
        <v>0</v>
      </c>
      <c r="S20" s="434"/>
      <c r="T20" s="436"/>
      <c r="U20" s="136"/>
      <c r="V20" s="136"/>
      <c r="W20" s="136"/>
      <c r="X20" s="136"/>
      <c r="Y20" s="136"/>
    </row>
    <row r="21" spans="1:25">
      <c r="A21" s="376" t="s">
        <v>245</v>
      </c>
      <c r="B21" s="367"/>
      <c r="C21" s="434">
        <v>0</v>
      </c>
      <c r="D21" s="433"/>
      <c r="E21" s="434">
        <v>0</v>
      </c>
      <c r="F21" s="434"/>
      <c r="G21" s="434"/>
      <c r="H21" s="434"/>
      <c r="I21" s="434"/>
      <c r="J21" s="434"/>
      <c r="K21" s="434"/>
      <c r="L21" s="434"/>
      <c r="M21" s="434">
        <v>0</v>
      </c>
      <c r="N21" s="434"/>
      <c r="O21" s="434">
        <v>0</v>
      </c>
      <c r="P21" s="434"/>
      <c r="Q21" s="434">
        <v>0</v>
      </c>
      <c r="R21" s="434">
        <v>0</v>
      </c>
      <c r="S21" s="434"/>
      <c r="T21" s="436"/>
      <c r="U21" s="136"/>
      <c r="V21" s="136"/>
      <c r="W21" s="136"/>
      <c r="X21" s="136"/>
      <c r="Y21" s="136"/>
    </row>
    <row r="22" spans="1:25">
      <c r="A22" s="376" t="s">
        <v>455</v>
      </c>
      <c r="B22" s="367"/>
      <c r="C22" s="434">
        <v>0</v>
      </c>
      <c r="D22" s="433"/>
      <c r="E22" s="434">
        <v>0</v>
      </c>
      <c r="F22" s="434"/>
      <c r="G22" s="434"/>
      <c r="H22" s="434"/>
      <c r="I22" s="434"/>
      <c r="J22" s="434"/>
      <c r="K22" s="434"/>
      <c r="L22" s="434"/>
      <c r="M22" s="434">
        <v>0</v>
      </c>
      <c r="N22" s="434"/>
      <c r="O22" s="434">
        <v>0</v>
      </c>
      <c r="P22" s="434"/>
      <c r="Q22" s="434">
        <v>0</v>
      </c>
      <c r="R22" s="434">
        <v>0</v>
      </c>
      <c r="S22" s="434"/>
      <c r="T22" s="436"/>
      <c r="U22" s="136"/>
      <c r="V22" s="136"/>
      <c r="W22" s="136"/>
      <c r="X22" s="136"/>
      <c r="Y22" s="136"/>
    </row>
    <row r="23" spans="1:25">
      <c r="A23" s="376" t="s">
        <v>793</v>
      </c>
      <c r="B23" s="367" t="s">
        <v>93</v>
      </c>
      <c r="C23" s="434">
        <v>0</v>
      </c>
      <c r="D23" s="433"/>
      <c r="E23" s="434">
        <v>0</v>
      </c>
      <c r="F23" s="434"/>
      <c r="G23" s="434"/>
      <c r="H23" s="434"/>
      <c r="I23" s="434"/>
      <c r="J23" s="434"/>
      <c r="K23" s="434"/>
      <c r="L23" s="434"/>
      <c r="M23" s="434">
        <v>0</v>
      </c>
      <c r="N23" s="434"/>
      <c r="O23" s="434">
        <v>0</v>
      </c>
      <c r="P23" s="434"/>
      <c r="Q23" s="434">
        <v>0</v>
      </c>
      <c r="R23" s="434">
        <v>0</v>
      </c>
      <c r="S23" s="434"/>
      <c r="T23" s="436"/>
      <c r="U23" s="136"/>
      <c r="V23" s="136"/>
      <c r="W23" s="136"/>
      <c r="X23" s="136"/>
      <c r="Y23" s="136"/>
    </row>
    <row r="24" spans="1:25">
      <c r="A24" s="376" t="s">
        <v>790</v>
      </c>
      <c r="B24" s="367" t="s">
        <v>240</v>
      </c>
      <c r="C24" s="434">
        <v>32482.251</v>
      </c>
      <c r="D24" s="433">
        <v>5</v>
      </c>
      <c r="E24" s="434">
        <v>32482.251</v>
      </c>
      <c r="F24" s="434">
        <f>G24+H24+I24+J24</f>
        <v>3428.1239999999998</v>
      </c>
      <c r="G24" s="434">
        <v>676.71299999999997</v>
      </c>
      <c r="H24" s="434">
        <v>2589</v>
      </c>
      <c r="I24" s="434"/>
      <c r="J24" s="434">
        <v>162.411</v>
      </c>
      <c r="K24" s="434">
        <f>L24+M24+N24+O24</f>
        <v>11135.295000000002</v>
      </c>
      <c r="L24" s="434">
        <v>8121</v>
      </c>
      <c r="M24" s="434">
        <v>2892.4870000000001</v>
      </c>
      <c r="N24" s="434"/>
      <c r="O24" s="434">
        <v>121.80800000000001</v>
      </c>
      <c r="P24" s="434">
        <f>P11+P14+P17</f>
        <v>36250.338000000003</v>
      </c>
      <c r="Q24" s="434">
        <v>8120.5559999999996</v>
      </c>
      <c r="R24" s="434">
        <v>2113.6759999999999</v>
      </c>
      <c r="S24" s="434"/>
      <c r="T24" s="436"/>
      <c r="U24" s="136"/>
      <c r="V24" s="136"/>
      <c r="W24" s="136"/>
      <c r="X24" s="136"/>
      <c r="Y24" s="136"/>
    </row>
    <row r="25" spans="1:25">
      <c r="A25" s="376"/>
      <c r="B25" s="367" t="s">
        <v>241</v>
      </c>
      <c r="C25" s="434"/>
      <c r="D25" s="433"/>
      <c r="E25" s="434"/>
      <c r="F25" s="434"/>
      <c r="G25" s="434"/>
      <c r="H25" s="434"/>
      <c r="I25" s="434"/>
      <c r="J25" s="434"/>
      <c r="K25" s="434"/>
      <c r="L25" s="434"/>
      <c r="M25" s="434"/>
      <c r="N25" s="434">
        <v>0</v>
      </c>
      <c r="O25" s="434"/>
      <c r="P25" s="434"/>
      <c r="Q25" s="434"/>
      <c r="R25" s="434"/>
      <c r="S25" s="434"/>
      <c r="T25" s="436"/>
      <c r="U25" s="136"/>
      <c r="V25" s="136"/>
      <c r="W25" s="136"/>
      <c r="X25" s="136"/>
      <c r="Y25" s="136"/>
    </row>
    <row r="26" spans="1:25">
      <c r="A26" s="376"/>
      <c r="B26" s="367" t="s">
        <v>149</v>
      </c>
      <c r="C26" s="434">
        <v>0</v>
      </c>
      <c r="D26" s="433"/>
      <c r="E26" s="434">
        <v>0</v>
      </c>
      <c r="F26" s="434">
        <v>0</v>
      </c>
      <c r="G26" s="434">
        <v>0</v>
      </c>
      <c r="H26" s="434">
        <v>0</v>
      </c>
      <c r="I26" s="434"/>
      <c r="J26" s="434">
        <v>0</v>
      </c>
      <c r="K26" s="434">
        <v>0</v>
      </c>
      <c r="L26" s="434">
        <v>0</v>
      </c>
      <c r="M26" s="434">
        <v>0</v>
      </c>
      <c r="N26" s="434">
        <v>0</v>
      </c>
      <c r="O26" s="434">
        <v>0</v>
      </c>
      <c r="P26" s="434">
        <v>0</v>
      </c>
      <c r="Q26" s="434">
        <v>0</v>
      </c>
      <c r="R26" s="434">
        <v>0</v>
      </c>
      <c r="S26" s="434"/>
      <c r="T26" s="436"/>
      <c r="U26" s="136"/>
      <c r="V26" s="136"/>
      <c r="W26" s="136"/>
      <c r="X26" s="136"/>
      <c r="Y26" s="136"/>
    </row>
    <row r="27" spans="1:25">
      <c r="A27" s="376" t="s">
        <v>439</v>
      </c>
      <c r="B27" s="367" t="s">
        <v>248</v>
      </c>
      <c r="C27" s="434">
        <v>0</v>
      </c>
      <c r="D27" s="433"/>
      <c r="E27" s="434">
        <v>0</v>
      </c>
      <c r="F27" s="434">
        <v>0</v>
      </c>
      <c r="G27" s="434">
        <v>0</v>
      </c>
      <c r="H27" s="434">
        <v>0</v>
      </c>
      <c r="I27" s="434"/>
      <c r="J27" s="434">
        <v>0</v>
      </c>
      <c r="K27" s="434">
        <v>0</v>
      </c>
      <c r="L27" s="434">
        <v>0</v>
      </c>
      <c r="M27" s="434">
        <v>0</v>
      </c>
      <c r="N27" s="434">
        <v>0</v>
      </c>
      <c r="O27" s="434">
        <v>0</v>
      </c>
      <c r="P27" s="434">
        <v>0</v>
      </c>
      <c r="Q27" s="434">
        <v>0</v>
      </c>
      <c r="R27" s="434">
        <v>0</v>
      </c>
      <c r="S27" s="434"/>
      <c r="T27" s="436"/>
      <c r="U27" s="136"/>
      <c r="V27" s="136"/>
      <c r="W27" s="136"/>
      <c r="X27" s="136"/>
      <c r="Y27" s="136"/>
    </row>
    <row r="28" spans="1:25">
      <c r="A28" s="376"/>
      <c r="B28" s="367" t="s">
        <v>249</v>
      </c>
      <c r="C28" s="434"/>
      <c r="D28" s="433"/>
      <c r="E28" s="434">
        <v>0</v>
      </c>
      <c r="F28" s="434"/>
      <c r="G28" s="434">
        <v>0</v>
      </c>
      <c r="H28" s="434"/>
      <c r="I28" s="434"/>
      <c r="J28" s="434">
        <v>0</v>
      </c>
      <c r="K28" s="434"/>
      <c r="L28" s="434">
        <v>0</v>
      </c>
      <c r="M28" s="434"/>
      <c r="N28" s="434">
        <v>0</v>
      </c>
      <c r="O28" s="434"/>
      <c r="P28" s="434"/>
      <c r="Q28" s="434">
        <v>0</v>
      </c>
      <c r="R28" s="434"/>
      <c r="S28" s="434"/>
      <c r="T28" s="436"/>
      <c r="U28" s="136"/>
      <c r="V28" s="136"/>
      <c r="W28" s="136"/>
      <c r="X28" s="136"/>
      <c r="Y28" s="136"/>
    </row>
    <row r="29" spans="1:25">
      <c r="A29" s="376" t="s">
        <v>242</v>
      </c>
      <c r="B29" s="367"/>
      <c r="C29" s="434">
        <v>0</v>
      </c>
      <c r="D29" s="433"/>
      <c r="E29" s="434">
        <v>0</v>
      </c>
      <c r="F29" s="434">
        <v>0</v>
      </c>
      <c r="G29" s="434">
        <v>0</v>
      </c>
      <c r="H29" s="434">
        <v>0</v>
      </c>
      <c r="I29" s="434"/>
      <c r="J29" s="434">
        <v>0</v>
      </c>
      <c r="K29" s="434">
        <v>0</v>
      </c>
      <c r="L29" s="434">
        <v>0</v>
      </c>
      <c r="M29" s="434">
        <v>0</v>
      </c>
      <c r="N29" s="434">
        <v>0</v>
      </c>
      <c r="O29" s="434">
        <v>0</v>
      </c>
      <c r="P29" s="434">
        <v>0</v>
      </c>
      <c r="Q29" s="434">
        <v>0</v>
      </c>
      <c r="R29" s="434">
        <v>0</v>
      </c>
      <c r="S29" s="434"/>
      <c r="T29" s="436"/>
      <c r="U29" s="136"/>
      <c r="V29" s="136"/>
      <c r="W29" s="136"/>
      <c r="X29" s="136"/>
      <c r="Y29" s="136"/>
    </row>
    <row r="30" spans="1:25">
      <c r="A30" s="376" t="s">
        <v>243</v>
      </c>
      <c r="B30" s="360"/>
      <c r="C30" s="434">
        <v>0</v>
      </c>
      <c r="D30" s="433"/>
      <c r="E30" s="434">
        <v>0</v>
      </c>
      <c r="F30" s="434">
        <v>0</v>
      </c>
      <c r="G30" s="434">
        <v>0</v>
      </c>
      <c r="H30" s="434">
        <v>0</v>
      </c>
      <c r="I30" s="434"/>
      <c r="J30" s="434">
        <v>0</v>
      </c>
      <c r="K30" s="434">
        <v>0</v>
      </c>
      <c r="L30" s="434">
        <v>0</v>
      </c>
      <c r="M30" s="434">
        <v>0</v>
      </c>
      <c r="N30" s="434">
        <v>0</v>
      </c>
      <c r="O30" s="434">
        <v>0</v>
      </c>
      <c r="P30" s="434">
        <v>0</v>
      </c>
      <c r="Q30" s="434">
        <v>0</v>
      </c>
      <c r="R30" s="434">
        <v>0</v>
      </c>
      <c r="S30" s="434"/>
      <c r="T30" s="436"/>
      <c r="U30" s="136"/>
      <c r="V30" s="136"/>
      <c r="W30" s="136"/>
      <c r="X30" s="136"/>
      <c r="Y30" s="136"/>
    </row>
    <row r="31" spans="1:25">
      <c r="A31" s="376" t="s">
        <v>246</v>
      </c>
      <c r="B31" s="360"/>
      <c r="C31" s="434">
        <v>0</v>
      </c>
      <c r="D31" s="433"/>
      <c r="E31" s="434">
        <v>0</v>
      </c>
      <c r="F31" s="434">
        <v>0</v>
      </c>
      <c r="G31" s="434">
        <v>0</v>
      </c>
      <c r="H31" s="434">
        <v>0</v>
      </c>
      <c r="I31" s="434"/>
      <c r="J31" s="434">
        <v>0</v>
      </c>
      <c r="K31" s="434">
        <v>0</v>
      </c>
      <c r="L31" s="434">
        <v>0</v>
      </c>
      <c r="M31" s="434">
        <v>0</v>
      </c>
      <c r="N31" s="434">
        <v>0</v>
      </c>
      <c r="O31" s="434">
        <v>0</v>
      </c>
      <c r="P31" s="434">
        <v>0</v>
      </c>
      <c r="Q31" s="434">
        <v>0</v>
      </c>
      <c r="R31" s="434">
        <v>0</v>
      </c>
      <c r="S31" s="434"/>
      <c r="T31" s="436"/>
      <c r="U31" s="136"/>
      <c r="V31" s="136"/>
      <c r="W31" s="136"/>
      <c r="X31" s="136"/>
      <c r="Y31" s="136"/>
    </row>
    <row r="32" spans="1:25" ht="12" thickBot="1">
      <c r="A32" s="596" t="s">
        <v>247</v>
      </c>
      <c r="B32" s="597"/>
      <c r="C32" s="437">
        <v>0</v>
      </c>
      <c r="D32" s="438"/>
      <c r="E32" s="437">
        <v>0</v>
      </c>
      <c r="F32" s="437">
        <v>0</v>
      </c>
      <c r="G32" s="437">
        <v>0</v>
      </c>
      <c r="H32" s="437">
        <v>0</v>
      </c>
      <c r="I32" s="437"/>
      <c r="J32" s="437">
        <v>0</v>
      </c>
      <c r="K32" s="437">
        <v>0</v>
      </c>
      <c r="L32" s="437">
        <v>0</v>
      </c>
      <c r="M32" s="437">
        <v>0</v>
      </c>
      <c r="N32" s="437">
        <v>0</v>
      </c>
      <c r="O32" s="437">
        <v>0</v>
      </c>
      <c r="P32" s="437">
        <v>0</v>
      </c>
      <c r="Q32" s="437">
        <v>0</v>
      </c>
      <c r="R32" s="437">
        <v>0</v>
      </c>
      <c r="S32" s="437"/>
      <c r="T32" s="439"/>
      <c r="U32" s="136"/>
      <c r="V32" s="136"/>
      <c r="W32" s="136"/>
      <c r="X32" s="136"/>
      <c r="Y32" s="136"/>
    </row>
    <row r="33" spans="1:25">
      <c r="F33" s="135" t="s">
        <v>771</v>
      </c>
      <c r="I33" s="135" t="s">
        <v>770</v>
      </c>
      <c r="U33" s="136"/>
      <c r="V33" s="136"/>
      <c r="W33" s="136"/>
      <c r="X33" s="136"/>
      <c r="Y33" s="136"/>
    </row>
    <row r="34" spans="1:25" ht="12.75">
      <c r="C34" s="83"/>
      <c r="D34" s="7"/>
      <c r="E34" s="1"/>
      <c r="F34" s="1" t="s">
        <v>772</v>
      </c>
      <c r="G34" s="1"/>
      <c r="H34" s="1"/>
      <c r="I34" s="48" t="s">
        <v>795</v>
      </c>
      <c r="J34" s="1"/>
      <c r="K34" s="1"/>
      <c r="L34" s="86"/>
      <c r="N34" s="1"/>
      <c r="U34" s="136"/>
      <c r="V34" s="136"/>
      <c r="W34" s="136"/>
      <c r="X34" s="136"/>
      <c r="Y34" s="136"/>
    </row>
    <row r="35" spans="1:25" ht="12.75">
      <c r="B35" s="1"/>
      <c r="C35" s="372"/>
      <c r="D35" s="1"/>
      <c r="E35" s="1"/>
      <c r="F35" s="1"/>
      <c r="G35" s="1"/>
      <c r="H35" s="48"/>
      <c r="I35" s="1"/>
      <c r="J35" s="1"/>
      <c r="K35" s="86"/>
      <c r="M35" s="1"/>
      <c r="T35" s="136"/>
      <c r="U35" s="136"/>
      <c r="V35" s="136"/>
      <c r="W35" s="136"/>
      <c r="X35" s="136"/>
    </row>
    <row r="36" spans="1:25" ht="12.75">
      <c r="C36" s="83"/>
      <c r="D36" s="7"/>
      <c r="E36" s="1"/>
      <c r="F36" s="1"/>
      <c r="G36" s="1"/>
      <c r="H36" s="1"/>
      <c r="I36" s="48"/>
      <c r="J36" s="1"/>
      <c r="K36" s="1"/>
      <c r="L36" s="86"/>
      <c r="U36" s="136"/>
      <c r="V36" s="136"/>
      <c r="W36" s="136"/>
      <c r="X36" s="136"/>
      <c r="Y36" s="136"/>
    </row>
    <row r="37" spans="1:25" ht="12.75">
      <c r="C37" s="83"/>
      <c r="D37" s="7"/>
      <c r="E37" s="1"/>
      <c r="F37" s="1"/>
      <c r="G37" s="1"/>
      <c r="H37" s="1"/>
      <c r="I37" s="48"/>
      <c r="J37" s="1"/>
      <c r="K37" s="1"/>
      <c r="L37" s="86"/>
      <c r="U37" s="136"/>
      <c r="V37" s="136"/>
      <c r="W37" s="136"/>
      <c r="X37" s="136"/>
      <c r="Y37" s="136"/>
    </row>
    <row r="38" spans="1:25">
      <c r="U38" s="136"/>
      <c r="V38" s="136"/>
      <c r="W38" s="136"/>
      <c r="X38" s="136"/>
      <c r="Y38" s="136"/>
    </row>
    <row r="39" spans="1:25">
      <c r="U39" s="136"/>
      <c r="V39" s="136"/>
      <c r="W39" s="136"/>
      <c r="X39" s="136"/>
      <c r="Y39" s="136"/>
    </row>
    <row r="40" spans="1:25">
      <c r="U40" s="136"/>
      <c r="V40" s="136"/>
      <c r="W40" s="136"/>
      <c r="X40" s="136"/>
      <c r="Y40" s="136"/>
    </row>
    <row r="41" spans="1:25">
      <c r="U41" s="136"/>
      <c r="V41" s="136"/>
      <c r="W41" s="136"/>
      <c r="X41" s="136"/>
      <c r="Y41" s="136"/>
    </row>
    <row r="42" spans="1:25">
      <c r="U42" s="136"/>
      <c r="V42" s="136"/>
      <c r="W42" s="136"/>
      <c r="X42" s="136"/>
      <c r="Y42" s="136"/>
    </row>
    <row r="43" spans="1:25">
      <c r="U43" s="136"/>
      <c r="V43" s="136"/>
      <c r="W43" s="136"/>
      <c r="X43" s="136"/>
      <c r="Y43" s="136"/>
    </row>
    <row r="44" spans="1:25">
      <c r="U44" s="136"/>
      <c r="V44" s="136"/>
      <c r="W44" s="136"/>
      <c r="X44" s="136"/>
      <c r="Y44" s="136"/>
    </row>
    <row r="45" spans="1:25">
      <c r="A45" s="136"/>
      <c r="B45" s="136"/>
      <c r="C45" s="373"/>
      <c r="D45" s="36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25">
      <c r="A46" s="136"/>
      <c r="B46" s="136"/>
      <c r="C46" s="373"/>
      <c r="D46" s="36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25">
      <c r="A47" s="136"/>
      <c r="B47" s="136"/>
      <c r="C47" s="373"/>
      <c r="D47" s="36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25">
      <c r="A48" s="136"/>
      <c r="B48" s="136"/>
      <c r="C48" s="373"/>
      <c r="D48" s="36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>
      <c r="A49" s="136"/>
      <c r="B49" s="136"/>
      <c r="C49" s="373"/>
      <c r="D49" s="36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>
      <c r="A50" s="136"/>
      <c r="B50" s="136"/>
      <c r="C50" s="373"/>
      <c r="D50" s="36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>
      <c r="A51" s="136"/>
      <c r="B51" s="136"/>
      <c r="C51" s="373"/>
      <c r="D51" s="36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>
      <c r="A52" s="136"/>
      <c r="B52" s="136"/>
      <c r="C52" s="373"/>
      <c r="D52" s="36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>
      <c r="A53" s="136"/>
      <c r="B53" s="136"/>
      <c r="C53" s="373"/>
      <c r="D53" s="36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25">
      <c r="A54" s="136"/>
      <c r="B54" s="136"/>
      <c r="C54" s="373"/>
      <c r="D54" s="36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25">
      <c r="A55" s="136"/>
      <c r="B55" s="136"/>
      <c r="C55" s="373"/>
      <c r="D55" s="36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</sheetData>
  <mergeCells count="13">
    <mergeCell ref="B1:E1"/>
    <mergeCell ref="B2:E2"/>
    <mergeCell ref="B3:E3"/>
    <mergeCell ref="A6:B7"/>
    <mergeCell ref="C6:C7"/>
    <mergeCell ref="D6:D7"/>
    <mergeCell ref="E6:E7"/>
    <mergeCell ref="A32:B32"/>
    <mergeCell ref="F6:J6"/>
    <mergeCell ref="K6:O6"/>
    <mergeCell ref="P6:T6"/>
    <mergeCell ref="A8:B8"/>
    <mergeCell ref="A9:T9"/>
  </mergeCells>
  <phoneticPr fontId="21" type="noConversion"/>
  <pageMargins left="0.7" right="0.42" top="0.75" bottom="0.75" header="0.3" footer="0.3"/>
  <pageSetup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6" workbookViewId="0">
      <selection activeCell="M11" sqref="M11"/>
    </sheetView>
  </sheetViews>
  <sheetFormatPr defaultRowHeight="12.75"/>
  <cols>
    <col min="1" max="1" width="6" style="1" customWidth="1"/>
    <col min="2" max="2" width="39.5703125" style="1" bestFit="1" customWidth="1"/>
    <col min="3" max="3" width="7.7109375" style="1" customWidth="1"/>
    <col min="4" max="4" width="10" style="1" customWidth="1"/>
    <col min="5" max="5" width="9.28515625" style="1" customWidth="1"/>
    <col min="6" max="6" width="10.28515625" style="1" customWidth="1"/>
    <col min="7" max="7" width="8" style="1" customWidth="1"/>
    <col min="8" max="8" width="7.7109375" style="1" customWidth="1"/>
    <col min="9" max="9" width="7" style="1" customWidth="1"/>
    <col min="10" max="10" width="7.85546875" style="1" customWidth="1"/>
    <col min="11" max="16384" width="9.140625" style="1"/>
  </cols>
  <sheetData>
    <row r="1" spans="1:14">
      <c r="A1" s="452" t="s">
        <v>733</v>
      </c>
      <c r="B1" s="452"/>
      <c r="C1" s="452"/>
      <c r="D1" s="452"/>
    </row>
    <row r="2" spans="1:14">
      <c r="A2" s="452" t="s">
        <v>734</v>
      </c>
      <c r="B2" s="452"/>
      <c r="C2" s="452"/>
      <c r="D2" s="452"/>
      <c r="H2" s="2" t="s">
        <v>85</v>
      </c>
      <c r="I2" s="2"/>
    </row>
    <row r="3" spans="1:14">
      <c r="A3" s="452" t="s">
        <v>735</v>
      </c>
      <c r="B3" s="452"/>
      <c r="C3" s="452"/>
      <c r="D3" s="452"/>
    </row>
    <row r="5" spans="1:14">
      <c r="C5" s="624" t="s">
        <v>88</v>
      </c>
      <c r="D5" s="624"/>
      <c r="E5" s="624"/>
      <c r="F5" s="624"/>
      <c r="G5" s="624"/>
      <c r="H5" s="624"/>
      <c r="I5" s="624"/>
    </row>
    <row r="6" spans="1:14">
      <c r="C6" s="453" t="s">
        <v>170</v>
      </c>
      <c r="D6" s="453"/>
      <c r="E6" s="453"/>
      <c r="F6" s="453"/>
      <c r="G6" s="453"/>
      <c r="H6" s="453"/>
      <c r="I6" s="453"/>
    </row>
    <row r="8" spans="1:14" ht="13.5" thickBot="1">
      <c r="J8" s="1" t="s">
        <v>797</v>
      </c>
    </row>
    <row r="9" spans="1:14" ht="13.5" thickBot="1">
      <c r="A9" s="617" t="s">
        <v>457</v>
      </c>
      <c r="B9" s="565" t="s">
        <v>458</v>
      </c>
      <c r="C9" s="567" t="s">
        <v>459</v>
      </c>
      <c r="D9" s="622" t="s">
        <v>476</v>
      </c>
      <c r="E9" s="623"/>
      <c r="F9" s="450" t="s">
        <v>477</v>
      </c>
      <c r="G9" s="451"/>
      <c r="H9" s="450">
        <v>2014</v>
      </c>
      <c r="I9" s="451"/>
      <c r="J9" s="450">
        <v>2015</v>
      </c>
      <c r="K9" s="451"/>
    </row>
    <row r="10" spans="1:14" ht="13.5" thickBot="1">
      <c r="A10" s="618"/>
      <c r="B10" s="620"/>
      <c r="C10" s="621"/>
      <c r="D10" s="622" t="s">
        <v>460</v>
      </c>
      <c r="E10" s="623"/>
      <c r="F10" s="450" t="s">
        <v>461</v>
      </c>
      <c r="G10" s="451"/>
      <c r="H10" s="450" t="s">
        <v>461</v>
      </c>
      <c r="I10" s="451"/>
      <c r="J10" s="450" t="s">
        <v>461</v>
      </c>
      <c r="K10" s="451"/>
    </row>
    <row r="11" spans="1:14" ht="26.25" thickBot="1">
      <c r="A11" s="619"/>
      <c r="B11" s="566"/>
      <c r="C11" s="568"/>
      <c r="D11" s="18" t="s">
        <v>462</v>
      </c>
      <c r="E11" s="3" t="s">
        <v>463</v>
      </c>
      <c r="F11" s="8" t="s">
        <v>464</v>
      </c>
      <c r="G11" s="3" t="s">
        <v>463</v>
      </c>
      <c r="H11" s="8" t="s">
        <v>464</v>
      </c>
      <c r="I11" s="3" t="s">
        <v>463</v>
      </c>
      <c r="J11" s="8" t="s">
        <v>464</v>
      </c>
      <c r="K11" s="3" t="s">
        <v>463</v>
      </c>
    </row>
    <row r="12" spans="1:14" ht="13.5" thickBot="1">
      <c r="A12" s="5" t="s">
        <v>96</v>
      </c>
      <c r="B12" s="3" t="s">
        <v>3</v>
      </c>
      <c r="C12" s="3" t="s">
        <v>71</v>
      </c>
      <c r="D12" s="3" t="s">
        <v>65</v>
      </c>
      <c r="E12" s="3" t="s">
        <v>66</v>
      </c>
      <c r="F12" s="3" t="s">
        <v>80</v>
      </c>
      <c r="G12" s="3" t="s">
        <v>67</v>
      </c>
      <c r="H12" s="3" t="s">
        <v>475</v>
      </c>
      <c r="I12" s="3" t="s">
        <v>465</v>
      </c>
      <c r="J12" s="3" t="s">
        <v>92</v>
      </c>
      <c r="K12" s="3" t="s">
        <v>98</v>
      </c>
    </row>
    <row r="13" spans="1:14" ht="26.25" thickBot="1">
      <c r="A13" s="10" t="s">
        <v>841</v>
      </c>
      <c r="B13" s="19" t="s">
        <v>466</v>
      </c>
      <c r="C13" s="5"/>
      <c r="D13" s="128">
        <v>-31810</v>
      </c>
      <c r="E13" s="128">
        <v>122184</v>
      </c>
      <c r="F13" s="444"/>
      <c r="G13" s="128">
        <v>113193</v>
      </c>
      <c r="H13" s="128"/>
      <c r="I13" s="128"/>
      <c r="J13" s="128"/>
      <c r="K13" s="128"/>
    </row>
    <row r="14" spans="1:14" ht="39" thickBot="1">
      <c r="A14" s="11" t="s">
        <v>3</v>
      </c>
      <c r="B14" s="20" t="s">
        <v>838</v>
      </c>
      <c r="C14" s="140" t="s">
        <v>842</v>
      </c>
      <c r="D14" s="137"/>
      <c r="E14" s="137" t="s">
        <v>301</v>
      </c>
      <c r="F14" s="444">
        <v>2923.5</v>
      </c>
      <c r="G14" s="128"/>
      <c r="H14" s="128"/>
      <c r="I14" s="128"/>
      <c r="J14" s="128"/>
      <c r="K14" s="128"/>
    </row>
    <row r="15" spans="1:14" ht="39" thickBot="1">
      <c r="A15" s="11" t="s">
        <v>71</v>
      </c>
      <c r="B15" s="20" t="s">
        <v>832</v>
      </c>
      <c r="C15" s="140" t="s">
        <v>843</v>
      </c>
      <c r="D15" s="137" t="s">
        <v>301</v>
      </c>
      <c r="E15" s="137" t="s">
        <v>301</v>
      </c>
      <c r="F15" s="444">
        <v>4000</v>
      </c>
      <c r="G15" s="128"/>
      <c r="H15" s="128"/>
      <c r="I15" s="128"/>
      <c r="J15" s="128"/>
      <c r="K15" s="128"/>
      <c r="N15" s="1" t="s">
        <v>845</v>
      </c>
    </row>
    <row r="16" spans="1:14" ht="26.25" thickBot="1">
      <c r="A16" s="11">
        <v>3</v>
      </c>
      <c r="B16" s="20" t="s">
        <v>833</v>
      </c>
      <c r="C16" s="140" t="s">
        <v>844</v>
      </c>
      <c r="D16" s="137" t="s">
        <v>301</v>
      </c>
      <c r="E16" s="137" t="s">
        <v>301</v>
      </c>
      <c r="F16" s="444">
        <v>3250</v>
      </c>
      <c r="G16" s="128"/>
      <c r="H16" s="128"/>
      <c r="I16" s="128"/>
      <c r="J16" s="128"/>
      <c r="K16" s="128"/>
    </row>
    <row r="17" spans="1:11" ht="26.25" thickBot="1">
      <c r="A17" s="11">
        <v>4</v>
      </c>
      <c r="B17" s="20" t="s">
        <v>834</v>
      </c>
      <c r="C17" s="140" t="s">
        <v>844</v>
      </c>
      <c r="D17" s="137" t="s">
        <v>301</v>
      </c>
      <c r="E17" s="137" t="s">
        <v>301</v>
      </c>
      <c r="F17" s="444">
        <v>508</v>
      </c>
      <c r="G17" s="128"/>
      <c r="H17" s="128"/>
      <c r="I17" s="128"/>
      <c r="J17" s="128"/>
      <c r="K17" s="128"/>
    </row>
    <row r="18" spans="1:11" ht="39" thickBot="1">
      <c r="A18" s="11">
        <v>5</v>
      </c>
      <c r="B18" s="20" t="s">
        <v>835</v>
      </c>
      <c r="C18" s="140" t="s">
        <v>842</v>
      </c>
      <c r="D18" s="137" t="s">
        <v>301</v>
      </c>
      <c r="E18" s="137" t="s">
        <v>301</v>
      </c>
      <c r="F18" s="444">
        <v>435</v>
      </c>
      <c r="G18" s="128"/>
      <c r="H18" s="128"/>
      <c r="I18" s="128"/>
      <c r="J18" s="128"/>
      <c r="K18" s="128"/>
    </row>
    <row r="19" spans="1:11" ht="39" thickBot="1">
      <c r="A19" s="11">
        <v>6</v>
      </c>
      <c r="B19" s="20" t="s">
        <v>846</v>
      </c>
      <c r="C19" s="140" t="s">
        <v>842</v>
      </c>
      <c r="D19" s="137" t="s">
        <v>301</v>
      </c>
      <c r="E19" s="137" t="s">
        <v>301</v>
      </c>
      <c r="F19" s="444">
        <v>290</v>
      </c>
      <c r="G19" s="128"/>
      <c r="H19" s="128"/>
      <c r="I19" s="128"/>
      <c r="J19" s="128"/>
      <c r="K19" s="128"/>
    </row>
    <row r="20" spans="1:11" ht="39" thickBot="1">
      <c r="A20" s="11">
        <v>7</v>
      </c>
      <c r="B20" s="20" t="s">
        <v>836</v>
      </c>
      <c r="C20" s="140" t="s">
        <v>844</v>
      </c>
      <c r="D20" s="137" t="s">
        <v>301</v>
      </c>
      <c r="E20" s="137" t="s">
        <v>301</v>
      </c>
      <c r="F20" s="444">
        <v>2676.2</v>
      </c>
      <c r="G20" s="128"/>
      <c r="H20" s="128"/>
      <c r="I20" s="128"/>
      <c r="J20" s="128"/>
      <c r="K20" s="128"/>
    </row>
    <row r="21" spans="1:11" ht="39" thickBot="1">
      <c r="A21" s="11">
        <v>8</v>
      </c>
      <c r="B21" s="20" t="s">
        <v>839</v>
      </c>
      <c r="C21" s="140">
        <v>2013</v>
      </c>
      <c r="D21" s="137" t="s">
        <v>301</v>
      </c>
      <c r="E21" s="137" t="s">
        <v>301</v>
      </c>
      <c r="F21" s="444">
        <v>19312.2</v>
      </c>
      <c r="G21" s="128"/>
      <c r="H21" s="128"/>
      <c r="I21" s="128"/>
      <c r="J21" s="128"/>
      <c r="K21" s="128"/>
    </row>
    <row r="22" spans="1:11" ht="13.5" thickBot="1">
      <c r="A22" s="11">
        <v>9</v>
      </c>
      <c r="B22" s="20" t="s">
        <v>840</v>
      </c>
      <c r="C22" s="140">
        <v>2013</v>
      </c>
      <c r="D22" s="137" t="s">
        <v>301</v>
      </c>
      <c r="E22" s="137" t="s">
        <v>301</v>
      </c>
      <c r="F22" s="444">
        <v>125.3</v>
      </c>
      <c r="G22" s="128"/>
      <c r="H22" s="128"/>
      <c r="I22" s="128"/>
      <c r="J22" s="128"/>
      <c r="K22" s="128"/>
    </row>
    <row r="23" spans="1:11" ht="13.5" thickBot="1">
      <c r="A23" s="11"/>
      <c r="B23" s="3" t="s">
        <v>467</v>
      </c>
      <c r="C23" s="5"/>
      <c r="D23" s="137" t="s">
        <v>301</v>
      </c>
      <c r="E23" s="137" t="s">
        <v>301</v>
      </c>
      <c r="F23" s="444">
        <f>SUM(F14:F22)</f>
        <v>33520.200000000004</v>
      </c>
      <c r="G23" s="128">
        <v>113193</v>
      </c>
      <c r="H23" s="128"/>
      <c r="I23" s="128"/>
      <c r="J23" s="128"/>
      <c r="K23" s="128"/>
    </row>
    <row r="24" spans="1:11" ht="26.25" thickBot="1">
      <c r="A24" s="10" t="s">
        <v>468</v>
      </c>
      <c r="B24" s="19" t="s">
        <v>469</v>
      </c>
      <c r="C24" s="5"/>
      <c r="D24" s="137"/>
      <c r="E24" s="137"/>
      <c r="F24" s="444"/>
      <c r="G24" s="128"/>
      <c r="H24" s="128"/>
      <c r="I24" s="128"/>
      <c r="J24" s="128"/>
      <c r="K24" s="128"/>
    </row>
    <row r="25" spans="1:11" ht="39" thickBot="1">
      <c r="A25" s="11" t="s">
        <v>3</v>
      </c>
      <c r="B25" s="20" t="s">
        <v>837</v>
      </c>
      <c r="C25" s="5"/>
      <c r="D25" s="137" t="s">
        <v>301</v>
      </c>
      <c r="E25" s="137" t="s">
        <v>301</v>
      </c>
      <c r="F25" s="444">
        <v>-1661.2</v>
      </c>
      <c r="G25" s="128"/>
      <c r="H25" s="128"/>
      <c r="I25" s="128"/>
      <c r="J25" s="128"/>
      <c r="K25" s="128"/>
    </row>
    <row r="26" spans="1:11" ht="13.5" thickBot="1">
      <c r="A26" s="11" t="s">
        <v>71</v>
      </c>
      <c r="B26" s="20" t="s">
        <v>470</v>
      </c>
      <c r="C26" s="5"/>
      <c r="D26" s="137" t="s">
        <v>301</v>
      </c>
      <c r="E26" s="137" t="s">
        <v>301</v>
      </c>
      <c r="F26" s="128"/>
      <c r="G26" s="128"/>
      <c r="H26" s="128"/>
      <c r="I26" s="128"/>
      <c r="J26" s="128"/>
      <c r="K26" s="128"/>
    </row>
    <row r="27" spans="1:11" ht="13.5" thickBot="1">
      <c r="A27" s="11" t="s">
        <v>65</v>
      </c>
      <c r="B27" s="20" t="s">
        <v>471</v>
      </c>
      <c r="C27" s="5"/>
      <c r="D27" s="137" t="s">
        <v>301</v>
      </c>
      <c r="E27" s="137" t="s">
        <v>301</v>
      </c>
      <c r="F27" s="128"/>
      <c r="G27" s="128"/>
      <c r="H27" s="128"/>
      <c r="I27" s="128"/>
      <c r="J27" s="128"/>
      <c r="K27" s="128"/>
    </row>
    <row r="28" spans="1:11" ht="13.5" thickBot="1">
      <c r="A28" s="11" t="s">
        <v>66</v>
      </c>
      <c r="B28" s="3" t="s">
        <v>472</v>
      </c>
      <c r="C28" s="5"/>
      <c r="D28" s="137" t="s">
        <v>301</v>
      </c>
      <c r="E28" s="137" t="s">
        <v>301</v>
      </c>
      <c r="F28" s="444">
        <f>SUM(F25:F27)</f>
        <v>-1661.2</v>
      </c>
      <c r="G28" s="128"/>
      <c r="H28" s="128"/>
      <c r="I28" s="128"/>
      <c r="J28" s="128"/>
      <c r="K28" s="128"/>
    </row>
    <row r="29" spans="1:11" ht="26.25" thickBot="1">
      <c r="A29" s="10" t="s">
        <v>473</v>
      </c>
      <c r="B29" s="3" t="s">
        <v>474</v>
      </c>
      <c r="C29" s="5"/>
      <c r="D29" s="445">
        <f>SUM(D13+D24)</f>
        <v>-31810</v>
      </c>
      <c r="E29" s="128">
        <f>SUM(E13+E24)</f>
        <v>122184</v>
      </c>
      <c r="F29" s="446">
        <f>D29+F23+F28</f>
        <v>49.00000000000432</v>
      </c>
      <c r="G29" s="128">
        <f>SUM(G13+G24)</f>
        <v>113193</v>
      </c>
      <c r="H29" s="128"/>
      <c r="I29" s="128"/>
      <c r="J29" s="128"/>
      <c r="K29" s="128"/>
    </row>
    <row r="31" spans="1:11">
      <c r="B31" s="1" t="s">
        <v>771</v>
      </c>
      <c r="C31" s="1" t="s">
        <v>770</v>
      </c>
      <c r="F31" s="1" t="s">
        <v>847</v>
      </c>
      <c r="I31" s="1" t="s">
        <v>848</v>
      </c>
    </row>
    <row r="32" spans="1:11">
      <c r="B32" s="1" t="s">
        <v>772</v>
      </c>
      <c r="C32" s="1" t="s">
        <v>773</v>
      </c>
      <c r="F32" s="1" t="s">
        <v>849</v>
      </c>
      <c r="I32" s="1" t="s">
        <v>850</v>
      </c>
    </row>
    <row r="33" spans="2:13">
      <c r="B33" s="173"/>
      <c r="F33" s="48"/>
      <c r="I33" s="86"/>
      <c r="J33" s="135"/>
      <c r="L33" s="135"/>
      <c r="M33" s="135"/>
    </row>
    <row r="34" spans="2:13">
      <c r="B34" s="173"/>
      <c r="F34" s="48"/>
      <c r="I34" s="86"/>
      <c r="J34" s="135"/>
      <c r="L34" s="135"/>
      <c r="M34" s="135"/>
    </row>
    <row r="39" spans="2:13">
      <c r="G39" s="1" t="s">
        <v>821</v>
      </c>
    </row>
  </sheetData>
  <mergeCells count="16">
    <mergeCell ref="J9:K9"/>
    <mergeCell ref="D10:E10"/>
    <mergeCell ref="F10:G10"/>
    <mergeCell ref="H10:I10"/>
    <mergeCell ref="J10:K10"/>
    <mergeCell ref="H9:I9"/>
    <mergeCell ref="A1:D1"/>
    <mergeCell ref="A2:D2"/>
    <mergeCell ref="A3:D3"/>
    <mergeCell ref="A9:A11"/>
    <mergeCell ref="B9:B11"/>
    <mergeCell ref="C9:C11"/>
    <mergeCell ref="D9:E9"/>
    <mergeCell ref="C5:I5"/>
    <mergeCell ref="C6:I6"/>
    <mergeCell ref="F9:G9"/>
  </mergeCells>
  <phoneticPr fontId="21" type="noConversion"/>
  <pageMargins left="0.7" right="0.7" top="0.75" bottom="0.75" header="0.3" footer="0.3"/>
  <pageSetup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anexa 1 </vt:lpstr>
      <vt:lpstr>anexa 2 </vt:lpstr>
      <vt:lpstr>anexa 3</vt:lpstr>
      <vt:lpstr>anexa 4  </vt:lpstr>
      <vt:lpstr>anexa 5  </vt:lpstr>
      <vt:lpstr>anexa 6</vt:lpstr>
      <vt:lpstr>anexa 7</vt:lpstr>
      <vt:lpstr>anexa 8</vt:lpstr>
      <vt:lpstr>anexa 9</vt:lpstr>
      <vt:lpstr>corelatii</vt:lpstr>
      <vt:lpstr>Sheet3</vt:lpstr>
      <vt:lpstr>Sheet2</vt:lpstr>
      <vt:lpstr>Sheet1</vt:lpstr>
      <vt:lpstr>anexa 1intermediar</vt:lpstr>
      <vt:lpstr>anexa 4 intermediar</vt:lpstr>
      <vt:lpstr>anexa 2intermediar</vt:lpstr>
      <vt:lpstr>anexa 5 intermediar</vt:lpstr>
      <vt:lpstr>'anexa 1 '!Print_Titles</vt:lpstr>
      <vt:lpstr>'anexa 2 '!Print_Titles</vt:lpstr>
      <vt:lpstr>'anexa 4  '!Print_Titles</vt:lpstr>
      <vt:lpstr>'anexa 5  '!Print_Titles</vt:lpstr>
      <vt:lpstr>'anexa 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 Dobrosavlevici</dc:creator>
  <cp:lastModifiedBy>MMalac</cp:lastModifiedBy>
  <cp:lastPrinted>2013-04-16T10:35:15Z</cp:lastPrinted>
  <dcterms:created xsi:type="dcterms:W3CDTF">2013-02-21T09:46:33Z</dcterms:created>
  <dcterms:modified xsi:type="dcterms:W3CDTF">2013-05-16T13:38:37Z</dcterms:modified>
</cp:coreProperties>
</file>